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8800" windowHeight="16060" tabRatio="879"/>
  </bookViews>
  <sheets>
    <sheet name="Resumen" sheetId="17" r:id="rId1"/>
    <sheet name="Madrid" sheetId="2" r:id="rId2"/>
    <sheet name="Aragón" sheetId="3" r:id="rId3"/>
    <sheet name="Asturias" sheetId="4" r:id="rId4"/>
    <sheet name="Baleares" sheetId="5" r:id="rId5"/>
    <sheet name="Canarias" sheetId="6" r:id="rId6"/>
    <sheet name="Cantabria" sheetId="7" r:id="rId7"/>
    <sheet name="Castilla La Mancha" sheetId="8" r:id="rId8"/>
    <sheet name="Castilla y León" sheetId="14" r:id="rId9"/>
    <sheet name="Extremadura" sheetId="9" r:id="rId10"/>
    <sheet name="La Rioja" sheetId="10" r:id="rId11"/>
    <sheet name="Murcia" sheetId="11" r:id="rId12"/>
    <sheet name="Navarra" sheetId="13" r:id="rId13"/>
    <sheet name="Valencia" sheetId="12" r:id="rId14"/>
    <sheet name="Legislación" sheetId="1" r:id="rId15"/>
    <sheet name="Padron" sheetId="16" r:id="rId16"/>
    <sheet name="Combinado PP2011" sheetId="18" r:id="rId1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7" l="1"/>
  <c r="B21" i="17"/>
  <c r="H11" i="18"/>
  <c r="H12" i="18"/>
  <c r="H13" i="18"/>
  <c r="F13" i="18"/>
  <c r="F12" i="18"/>
  <c r="F11" i="18"/>
  <c r="C2" i="18"/>
  <c r="C3" i="18"/>
  <c r="C4" i="18"/>
  <c r="C5" i="18"/>
  <c r="C6" i="18"/>
  <c r="C7" i="18"/>
  <c r="C8" i="18"/>
  <c r="C9" i="18"/>
  <c r="C10" i="18"/>
  <c r="C11" i="18"/>
  <c r="C12" i="18"/>
  <c r="C13" i="18"/>
  <c r="C14" i="18"/>
  <c r="B22" i="18"/>
  <c r="F10" i="18"/>
  <c r="F9" i="18"/>
  <c r="F8" i="18"/>
  <c r="F7" i="18"/>
  <c r="F6" i="18"/>
  <c r="F5" i="18"/>
  <c r="F4" i="18"/>
  <c r="F3" i="18"/>
  <c r="F2" i="18"/>
  <c r="P3" i="12"/>
  <c r="B14" i="18"/>
  <c r="B13" i="18"/>
  <c r="Q3" i="11"/>
  <c r="B12" i="18"/>
  <c r="Q3" i="10"/>
  <c r="B11" i="18"/>
  <c r="P3" i="9"/>
  <c r="B10" i="18"/>
  <c r="Q3" i="14"/>
  <c r="B9" i="18"/>
  <c r="Q3" i="8"/>
  <c r="B8" i="18"/>
  <c r="P3" i="7"/>
  <c r="B7" i="18"/>
  <c r="B6" i="18"/>
  <c r="Q3" i="5"/>
  <c r="B5" i="18"/>
  <c r="R3" i="4"/>
  <c r="B4" i="18"/>
  <c r="B3" i="18"/>
  <c r="P3" i="2"/>
  <c r="B2" i="18"/>
  <c r="H9" i="18"/>
  <c r="B21" i="18"/>
  <c r="B23" i="18"/>
  <c r="H15" i="18"/>
  <c r="H16" i="18"/>
  <c r="H17" i="18"/>
  <c r="H18" i="18"/>
  <c r="H23" i="18"/>
  <c r="E26" i="18"/>
  <c r="H14" i="18"/>
  <c r="H10" i="18"/>
  <c r="H8" i="18"/>
  <c r="H7" i="18"/>
  <c r="H6" i="18"/>
  <c r="H5" i="18"/>
  <c r="H4" i="18"/>
  <c r="H3" i="18"/>
  <c r="H2" i="18"/>
  <c r="T21" i="17"/>
  <c r="N5" i="17"/>
  <c r="N7" i="17"/>
  <c r="N8" i="17"/>
  <c r="N10" i="17"/>
  <c r="N11" i="17"/>
  <c r="N13" i="17"/>
  <c r="N14" i="17"/>
  <c r="N15" i="17"/>
  <c r="AB4" i="17"/>
  <c r="AA4" i="17"/>
  <c r="C4" i="17"/>
  <c r="C5" i="17"/>
  <c r="W3" i="4"/>
  <c r="C6" i="17"/>
  <c r="C7" i="17"/>
  <c r="C8" i="17"/>
  <c r="C9" i="17"/>
  <c r="C10" i="17"/>
  <c r="C11" i="17"/>
  <c r="P4" i="9"/>
  <c r="C12" i="17"/>
  <c r="C13" i="17"/>
  <c r="C14" i="17"/>
  <c r="C15" i="17"/>
  <c r="C16" i="17"/>
  <c r="C18" i="17"/>
  <c r="D5" i="17"/>
  <c r="D7" i="17"/>
  <c r="D8" i="17"/>
  <c r="D10" i="17"/>
  <c r="D11" i="17"/>
  <c r="D13" i="17"/>
  <c r="D14" i="17"/>
  <c r="D15" i="17"/>
  <c r="D18" i="17"/>
  <c r="D21" i="17"/>
  <c r="U3" i="2"/>
  <c r="V3" i="2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8" i="17"/>
  <c r="E21" i="17"/>
  <c r="U7" i="2"/>
  <c r="Q4" i="17"/>
  <c r="F4" i="17"/>
  <c r="Q5" i="17"/>
  <c r="F5" i="17"/>
  <c r="AB8" i="4"/>
  <c r="Q6" i="17"/>
  <c r="F6" i="17"/>
  <c r="W9" i="5"/>
  <c r="Q7" i="17"/>
  <c r="F7" i="17"/>
  <c r="Q8" i="17"/>
  <c r="F8" i="17"/>
  <c r="U6" i="7"/>
  <c r="Q9" i="17"/>
  <c r="F9" i="17"/>
  <c r="W5" i="8"/>
  <c r="Q10" i="17"/>
  <c r="F10" i="17"/>
  <c r="W7" i="14"/>
  <c r="Q11" i="17"/>
  <c r="F11" i="17"/>
  <c r="U6" i="9"/>
  <c r="Q12" i="17"/>
  <c r="F12" i="17"/>
  <c r="W6" i="10"/>
  <c r="Q13" i="17"/>
  <c r="F13" i="17"/>
  <c r="W6" i="11"/>
  <c r="Q14" i="17"/>
  <c r="F14" i="17"/>
  <c r="Q15" i="17"/>
  <c r="F15" i="17"/>
  <c r="U8" i="12"/>
  <c r="Q16" i="17"/>
  <c r="F16" i="17"/>
  <c r="F18" i="17"/>
  <c r="G5" i="17"/>
  <c r="G7" i="17"/>
  <c r="G8" i="17"/>
  <c r="G10" i="17"/>
  <c r="G11" i="17"/>
  <c r="G13" i="17"/>
  <c r="G14" i="17"/>
  <c r="G15" i="17"/>
  <c r="G18" i="17"/>
  <c r="G21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8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8" i="17"/>
  <c r="K5" i="17"/>
  <c r="K7" i="17"/>
  <c r="K8" i="17"/>
  <c r="K10" i="17"/>
  <c r="K11" i="17"/>
  <c r="K13" i="17"/>
  <c r="K14" i="17"/>
  <c r="K15" i="17"/>
  <c r="K18" i="17"/>
  <c r="K21" i="17"/>
  <c r="L4" i="17"/>
  <c r="L5" i="17"/>
  <c r="L6" i="17"/>
  <c r="L7" i="17"/>
  <c r="L8" i="17"/>
  <c r="L10" i="17"/>
  <c r="L11" i="17"/>
  <c r="L13" i="17"/>
  <c r="L14" i="17"/>
  <c r="L15" i="17"/>
  <c r="L16" i="17"/>
  <c r="L18" i="17"/>
  <c r="L21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8" i="17"/>
  <c r="N18" i="17"/>
  <c r="N21" i="17"/>
  <c r="V7" i="2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8" i="17"/>
  <c r="P21" i="17"/>
  <c r="Q18" i="17"/>
  <c r="R5" i="17"/>
  <c r="R7" i="17"/>
  <c r="R8" i="17"/>
  <c r="R10" i="17"/>
  <c r="R11" i="17"/>
  <c r="R13" i="17"/>
  <c r="R14" i="17"/>
  <c r="R15" i="17"/>
  <c r="R18" i="17"/>
  <c r="R21" i="17"/>
  <c r="U8" i="2"/>
  <c r="V8" i="2"/>
  <c r="W4" i="17"/>
  <c r="W5" i="17"/>
  <c r="W6" i="17"/>
  <c r="W7" i="17"/>
  <c r="W9" i="17"/>
  <c r="W11" i="17"/>
  <c r="W12" i="17"/>
  <c r="W13" i="17"/>
  <c r="W14" i="17"/>
  <c r="W16" i="17"/>
  <c r="W18" i="17"/>
  <c r="W21" i="17"/>
  <c r="X4" i="17"/>
  <c r="X5" i="17"/>
  <c r="X6" i="17"/>
  <c r="X7" i="17"/>
  <c r="X8" i="17"/>
  <c r="X9" i="17"/>
  <c r="X10" i="17"/>
  <c r="X11" i="17"/>
  <c r="X12" i="17"/>
  <c r="X13" i="17"/>
  <c r="X14" i="17"/>
  <c r="X15" i="17"/>
  <c r="X16" i="17"/>
  <c r="X18" i="17"/>
  <c r="Y5" i="17"/>
  <c r="Y7" i="17"/>
  <c r="Y11" i="17"/>
  <c r="Y13" i="17"/>
  <c r="Y14" i="17"/>
  <c r="Y18" i="17"/>
  <c r="Y21" i="17"/>
  <c r="AA18" i="17"/>
  <c r="AA21" i="17"/>
  <c r="AC18" i="17"/>
  <c r="AC21" i="17"/>
  <c r="AD21" i="17"/>
  <c r="AF21" i="17"/>
  <c r="Q3" i="2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8" i="17"/>
  <c r="X8" i="6"/>
  <c r="X5" i="6"/>
  <c r="X3" i="6"/>
  <c r="AF18" i="17"/>
  <c r="AD18" i="17"/>
  <c r="U5" i="8"/>
  <c r="V5" i="8"/>
  <c r="S6" i="7"/>
  <c r="T6" i="7"/>
  <c r="U8" i="6"/>
  <c r="V8" i="6"/>
  <c r="U9" i="5"/>
  <c r="V9" i="5"/>
  <c r="Z8" i="4"/>
  <c r="AA8" i="4"/>
  <c r="U8" i="3"/>
  <c r="V8" i="3"/>
  <c r="Y8" i="3"/>
  <c r="S7" i="2"/>
  <c r="T7" i="2"/>
  <c r="S3" i="2"/>
  <c r="T3" i="2"/>
  <c r="X7" i="14"/>
  <c r="X8" i="14"/>
  <c r="X6" i="14"/>
  <c r="X4" i="14"/>
  <c r="X3" i="14"/>
  <c r="X5" i="8"/>
  <c r="X10" i="5"/>
  <c r="X9" i="5"/>
  <c r="X4" i="5"/>
  <c r="X3" i="5"/>
  <c r="V8" i="12"/>
  <c r="U9" i="12"/>
  <c r="V9" i="12"/>
  <c r="S9" i="12"/>
  <c r="T9" i="12"/>
  <c r="T8" i="12"/>
  <c r="S8" i="12"/>
  <c r="U9" i="13"/>
  <c r="V9" i="13"/>
  <c r="X9" i="13"/>
  <c r="Y9" i="13"/>
  <c r="U10" i="13"/>
  <c r="V10" i="13"/>
  <c r="X10" i="13"/>
  <c r="Y10" i="13"/>
  <c r="U6" i="11"/>
  <c r="V6" i="11"/>
  <c r="X6" i="11"/>
  <c r="Y6" i="11"/>
  <c r="U7" i="11"/>
  <c r="V7" i="11"/>
  <c r="W7" i="11"/>
  <c r="X7" i="11"/>
  <c r="Y7" i="11"/>
  <c r="U6" i="10"/>
  <c r="V6" i="10"/>
  <c r="X6" i="10"/>
  <c r="Y6" i="10"/>
  <c r="U7" i="10"/>
  <c r="V7" i="10"/>
  <c r="W7" i="10"/>
  <c r="X7" i="10"/>
  <c r="Y7" i="10"/>
  <c r="S6" i="9"/>
  <c r="T6" i="9"/>
  <c r="V6" i="9"/>
  <c r="S7" i="9"/>
  <c r="T7" i="9"/>
  <c r="U7" i="9"/>
  <c r="V7" i="9"/>
  <c r="U7" i="14"/>
  <c r="V7" i="14"/>
  <c r="Y7" i="14"/>
  <c r="U8" i="14"/>
  <c r="V8" i="14"/>
  <c r="W8" i="14"/>
  <c r="Y8" i="14"/>
  <c r="Y5" i="8"/>
  <c r="S5" i="7"/>
  <c r="T5" i="7"/>
  <c r="U5" i="7"/>
  <c r="V5" i="7"/>
  <c r="V6" i="7"/>
  <c r="S7" i="7"/>
  <c r="T7" i="7"/>
  <c r="U7" i="7"/>
  <c r="V7" i="7"/>
  <c r="Y8" i="6"/>
  <c r="Y9" i="5"/>
  <c r="U10" i="5"/>
  <c r="V10" i="5"/>
  <c r="W10" i="5"/>
  <c r="Y10" i="5"/>
  <c r="AC8" i="4"/>
  <c r="Z9" i="4"/>
  <c r="AA9" i="4"/>
  <c r="AB9" i="4"/>
  <c r="AC9" i="4"/>
  <c r="U9" i="3"/>
  <c r="V9" i="3"/>
  <c r="Y9" i="3"/>
  <c r="X8" i="3"/>
  <c r="X9" i="3"/>
  <c r="W8" i="3"/>
  <c r="W9" i="3"/>
  <c r="U3" i="3"/>
  <c r="U4" i="3"/>
  <c r="S8" i="2"/>
  <c r="T8" i="2"/>
  <c r="X7" i="13"/>
  <c r="X5" i="13"/>
  <c r="X4" i="13"/>
  <c r="X3" i="13"/>
  <c r="X4" i="11"/>
  <c r="X3" i="11"/>
  <c r="X4" i="10"/>
  <c r="X3" i="10"/>
  <c r="X4" i="8"/>
  <c r="X3" i="8"/>
  <c r="X4" i="3"/>
  <c r="X5" i="3"/>
  <c r="X3" i="3"/>
  <c r="S6" i="12"/>
  <c r="T6" i="12"/>
  <c r="U6" i="12"/>
  <c r="V6" i="12"/>
  <c r="U4" i="12"/>
  <c r="U3" i="12"/>
  <c r="T4" i="12"/>
  <c r="T3" i="12"/>
  <c r="S4" i="12"/>
  <c r="S3" i="12"/>
  <c r="P7" i="12"/>
  <c r="Q7" i="12"/>
  <c r="P6" i="12"/>
  <c r="Q6" i="12"/>
  <c r="P4" i="12"/>
  <c r="O7" i="12"/>
  <c r="O6" i="12"/>
  <c r="O4" i="12"/>
  <c r="O3" i="12"/>
  <c r="N7" i="12"/>
  <c r="N6" i="12"/>
  <c r="N4" i="12"/>
  <c r="N3" i="12"/>
  <c r="K5" i="12"/>
  <c r="L5" i="12"/>
  <c r="K4" i="12"/>
  <c r="K3" i="12"/>
  <c r="J5" i="12"/>
  <c r="J4" i="12"/>
  <c r="J3" i="12"/>
  <c r="I5" i="12"/>
  <c r="I4" i="12"/>
  <c r="I3" i="12"/>
  <c r="V4" i="12"/>
  <c r="V3" i="12"/>
  <c r="Q4" i="12"/>
  <c r="Q3" i="12"/>
  <c r="L4" i="12"/>
  <c r="L3" i="12"/>
  <c r="U7" i="13"/>
  <c r="V7" i="13"/>
  <c r="Y7" i="13"/>
  <c r="V5" i="13"/>
  <c r="V4" i="13"/>
  <c r="V3" i="13"/>
  <c r="U5" i="13"/>
  <c r="U4" i="13"/>
  <c r="U3" i="13"/>
  <c r="S7" i="13"/>
  <c r="R7" i="13"/>
  <c r="R5" i="13"/>
  <c r="R4" i="13"/>
  <c r="R3" i="13"/>
  <c r="P7" i="13"/>
  <c r="P5" i="13"/>
  <c r="P4" i="13"/>
  <c r="P3" i="13"/>
  <c r="O7" i="13"/>
  <c r="O5" i="13"/>
  <c r="O4" i="13"/>
  <c r="O3" i="13"/>
  <c r="L5" i="13"/>
  <c r="L4" i="13"/>
  <c r="L3" i="13"/>
  <c r="I5" i="13"/>
  <c r="I4" i="13"/>
  <c r="I3" i="13"/>
  <c r="J5" i="13"/>
  <c r="J4" i="13"/>
  <c r="J3" i="13"/>
  <c r="Y5" i="13"/>
  <c r="Y4" i="13"/>
  <c r="Y3" i="13"/>
  <c r="S5" i="13"/>
  <c r="S4" i="13"/>
  <c r="S3" i="13"/>
  <c r="M5" i="13"/>
  <c r="M4" i="13"/>
  <c r="M3" i="13"/>
  <c r="W4" i="11"/>
  <c r="W3" i="11"/>
  <c r="V4" i="11"/>
  <c r="V3" i="11"/>
  <c r="U4" i="11"/>
  <c r="U3" i="11"/>
  <c r="Q5" i="11"/>
  <c r="Q4" i="11"/>
  <c r="R5" i="11"/>
  <c r="R4" i="11"/>
  <c r="R3" i="11"/>
  <c r="O5" i="11"/>
  <c r="P5" i="11"/>
  <c r="S5" i="11"/>
  <c r="I5" i="11"/>
  <c r="J5" i="11"/>
  <c r="K5" i="11"/>
  <c r="L5" i="11"/>
  <c r="M5" i="11"/>
  <c r="O4" i="11"/>
  <c r="O3" i="11"/>
  <c r="K4" i="11"/>
  <c r="K3" i="11"/>
  <c r="I4" i="11"/>
  <c r="I3" i="11"/>
  <c r="J4" i="11"/>
  <c r="J3" i="11"/>
  <c r="L4" i="11"/>
  <c r="L3" i="11"/>
  <c r="Y4" i="11"/>
  <c r="Y3" i="11"/>
  <c r="P4" i="11"/>
  <c r="S4" i="11"/>
  <c r="P3" i="11"/>
  <c r="S3" i="11"/>
  <c r="M4" i="11"/>
  <c r="M3" i="11"/>
  <c r="W4" i="10"/>
  <c r="W3" i="10"/>
  <c r="U4" i="10"/>
  <c r="U3" i="10"/>
  <c r="V4" i="10"/>
  <c r="V3" i="10"/>
  <c r="R4" i="10"/>
  <c r="R3" i="10"/>
  <c r="Q4" i="10"/>
  <c r="O4" i="10"/>
  <c r="O3" i="10"/>
  <c r="P4" i="10"/>
  <c r="P3" i="10"/>
  <c r="L4" i="10"/>
  <c r="L3" i="10"/>
  <c r="K4" i="10"/>
  <c r="K3" i="10"/>
  <c r="J4" i="10"/>
  <c r="I4" i="10"/>
  <c r="I3" i="10"/>
  <c r="J3" i="10"/>
  <c r="Y4" i="10"/>
  <c r="Y3" i="10"/>
  <c r="S4" i="10"/>
  <c r="S3" i="10"/>
  <c r="M4" i="10"/>
  <c r="M3" i="10"/>
  <c r="S4" i="9"/>
  <c r="S3" i="9"/>
  <c r="U4" i="9"/>
  <c r="U3" i="9"/>
  <c r="T4" i="9"/>
  <c r="T3" i="9"/>
  <c r="O5" i="9"/>
  <c r="O4" i="9"/>
  <c r="O3" i="9"/>
  <c r="P5" i="9"/>
  <c r="Q5" i="9"/>
  <c r="N5" i="9"/>
  <c r="N4" i="9"/>
  <c r="N3" i="9"/>
  <c r="K4" i="9"/>
  <c r="K3" i="9"/>
  <c r="I4" i="9"/>
  <c r="I3" i="9"/>
  <c r="J4" i="9"/>
  <c r="J3" i="9"/>
  <c r="V4" i="9"/>
  <c r="V3" i="9"/>
  <c r="Q4" i="9"/>
  <c r="Q3" i="9"/>
  <c r="L4" i="9"/>
  <c r="L3" i="9"/>
  <c r="U3" i="14"/>
  <c r="W3" i="14"/>
  <c r="V3" i="14"/>
  <c r="Y3" i="14"/>
  <c r="U6" i="14"/>
  <c r="W6" i="14"/>
  <c r="Y6" i="14"/>
  <c r="W4" i="14"/>
  <c r="V6" i="14"/>
  <c r="V4" i="14"/>
  <c r="U4" i="14"/>
  <c r="O6" i="14"/>
  <c r="P6" i="14"/>
  <c r="Q6" i="14"/>
  <c r="R6" i="14"/>
  <c r="S6" i="14"/>
  <c r="Q4" i="14"/>
  <c r="R4" i="14"/>
  <c r="R3" i="14"/>
  <c r="O4" i="14"/>
  <c r="O3" i="14"/>
  <c r="P4" i="14"/>
  <c r="P3" i="14"/>
  <c r="L3" i="14"/>
  <c r="K4" i="14"/>
  <c r="K3" i="14"/>
  <c r="I4" i="14"/>
  <c r="I3" i="14"/>
  <c r="J4" i="14"/>
  <c r="J3" i="14"/>
  <c r="Y4" i="14"/>
  <c r="S4" i="14"/>
  <c r="S3" i="14"/>
  <c r="M4" i="14"/>
  <c r="M3" i="14"/>
  <c r="W4" i="8"/>
  <c r="W3" i="8"/>
  <c r="U4" i="8"/>
  <c r="U3" i="8"/>
  <c r="V4" i="8"/>
  <c r="V3" i="8"/>
  <c r="R4" i="8"/>
  <c r="R3" i="8"/>
  <c r="P4" i="8"/>
  <c r="P3" i="8"/>
  <c r="O4" i="8"/>
  <c r="O3" i="8"/>
  <c r="Q4" i="8"/>
  <c r="Y4" i="8"/>
  <c r="Y3" i="8"/>
  <c r="S4" i="8"/>
  <c r="S3" i="8"/>
  <c r="M4" i="8"/>
  <c r="M3" i="8"/>
  <c r="L4" i="8"/>
  <c r="L3" i="8"/>
  <c r="I4" i="8"/>
  <c r="I3" i="8"/>
  <c r="J4" i="8"/>
  <c r="J3" i="8"/>
  <c r="U4" i="7"/>
  <c r="U3" i="7"/>
  <c r="T4" i="7"/>
  <c r="T3" i="7"/>
  <c r="S4" i="7"/>
  <c r="S3" i="7"/>
  <c r="O4" i="7"/>
  <c r="O3" i="7"/>
  <c r="N4" i="7"/>
  <c r="N3" i="7"/>
  <c r="P4" i="7"/>
  <c r="V4" i="7"/>
  <c r="V3" i="7"/>
  <c r="Q4" i="7"/>
  <c r="Q3" i="7"/>
  <c r="K4" i="7"/>
  <c r="L4" i="7"/>
  <c r="K3" i="7"/>
  <c r="L3" i="7"/>
  <c r="J4" i="7"/>
  <c r="J3" i="7"/>
  <c r="I4" i="7"/>
  <c r="I3" i="7"/>
  <c r="V5" i="6"/>
  <c r="V3" i="6"/>
  <c r="U5" i="6"/>
  <c r="U3" i="6"/>
  <c r="Y5" i="6"/>
  <c r="Y3" i="6"/>
  <c r="S5" i="6"/>
  <c r="S3" i="6"/>
  <c r="R5" i="6"/>
  <c r="R3" i="6"/>
  <c r="P5" i="6"/>
  <c r="P3" i="6"/>
  <c r="O5" i="6"/>
  <c r="O3" i="6"/>
  <c r="I5" i="6"/>
  <c r="J5" i="6"/>
  <c r="L5" i="6"/>
  <c r="M5" i="6"/>
  <c r="I3" i="6"/>
  <c r="J3" i="6"/>
  <c r="L3" i="6"/>
  <c r="M3" i="6"/>
  <c r="U4" i="5"/>
  <c r="V4" i="5"/>
  <c r="W4" i="5"/>
  <c r="Y4" i="5"/>
  <c r="U3" i="5"/>
  <c r="V3" i="5"/>
  <c r="W3" i="5"/>
  <c r="Y3" i="5"/>
  <c r="K4" i="5"/>
  <c r="M4" i="5"/>
  <c r="K3" i="5"/>
  <c r="M3" i="5"/>
  <c r="L4" i="5"/>
  <c r="L3" i="5"/>
  <c r="J4" i="5"/>
  <c r="J3" i="5"/>
  <c r="I4" i="5"/>
  <c r="I3" i="5"/>
  <c r="Q4" i="5"/>
  <c r="S4" i="5"/>
  <c r="S3" i="5"/>
  <c r="R4" i="5"/>
  <c r="R3" i="5"/>
  <c r="P4" i="5"/>
  <c r="P3" i="5"/>
  <c r="O4" i="5"/>
  <c r="O3" i="5"/>
  <c r="T4" i="2"/>
  <c r="S4" i="2"/>
  <c r="U4" i="2"/>
  <c r="V4" i="2"/>
  <c r="U5" i="3"/>
  <c r="V5" i="3"/>
  <c r="Y5" i="3"/>
  <c r="V4" i="3"/>
  <c r="Y4" i="3"/>
  <c r="V3" i="3"/>
  <c r="Y3" i="3"/>
  <c r="W5" i="3"/>
  <c r="W4" i="3"/>
  <c r="W3" i="3"/>
  <c r="Z6" i="4"/>
  <c r="AA6" i="4"/>
  <c r="AB6" i="4"/>
  <c r="AC6" i="4"/>
  <c r="Z5" i="4"/>
  <c r="AB5" i="4"/>
  <c r="AA5" i="4"/>
  <c r="AC5" i="4"/>
  <c r="Z4" i="4"/>
  <c r="AA4" i="4"/>
  <c r="AB4" i="4"/>
  <c r="AC4" i="4"/>
  <c r="Z3" i="4"/>
  <c r="AA3" i="4"/>
  <c r="AB3" i="4"/>
  <c r="AC3" i="4"/>
  <c r="W4" i="4"/>
  <c r="X4" i="4"/>
  <c r="W5" i="4"/>
  <c r="X5" i="4"/>
  <c r="W6" i="4"/>
  <c r="X6" i="4"/>
  <c r="W7" i="4"/>
  <c r="X7" i="4"/>
  <c r="X3" i="4"/>
  <c r="V4" i="4"/>
  <c r="V5" i="4"/>
  <c r="V6" i="4"/>
  <c r="V7" i="4"/>
  <c r="V3" i="4"/>
  <c r="U7" i="4"/>
  <c r="U6" i="4"/>
  <c r="U5" i="4"/>
  <c r="U4" i="4"/>
  <c r="U3" i="4"/>
  <c r="R6" i="4"/>
  <c r="S6" i="4"/>
  <c r="R5" i="4"/>
  <c r="S5" i="4"/>
  <c r="R4" i="4"/>
  <c r="S4" i="4"/>
  <c r="S3" i="4"/>
  <c r="Q6" i="4"/>
  <c r="Q5" i="4"/>
  <c r="Q4" i="4"/>
  <c r="Q3" i="4"/>
  <c r="P6" i="4"/>
  <c r="P5" i="4"/>
  <c r="P4" i="4"/>
  <c r="P3" i="4"/>
  <c r="K5" i="4"/>
  <c r="L5" i="4"/>
  <c r="M5" i="4"/>
  <c r="N5" i="4"/>
  <c r="K4" i="4"/>
  <c r="L4" i="4"/>
  <c r="M4" i="4"/>
  <c r="N4" i="4"/>
  <c r="K3" i="4"/>
  <c r="L3" i="4"/>
  <c r="M3" i="4"/>
  <c r="N3" i="4"/>
  <c r="L6" i="3"/>
  <c r="L5" i="3"/>
  <c r="L4" i="3"/>
  <c r="L3" i="3"/>
  <c r="R7" i="3"/>
  <c r="R6" i="3"/>
  <c r="R5" i="3"/>
  <c r="R4" i="3"/>
  <c r="R3" i="3"/>
  <c r="O4" i="3"/>
  <c r="P4" i="3"/>
  <c r="Q4" i="3"/>
  <c r="S4" i="3"/>
  <c r="O5" i="3"/>
  <c r="P5" i="3"/>
  <c r="Q5" i="3"/>
  <c r="S5" i="3"/>
  <c r="O6" i="3"/>
  <c r="P6" i="3"/>
  <c r="Q6" i="3"/>
  <c r="S6" i="3"/>
  <c r="O7" i="3"/>
  <c r="P7" i="3"/>
  <c r="Q7" i="3"/>
  <c r="S7" i="3"/>
  <c r="O3" i="3"/>
  <c r="P3" i="3"/>
  <c r="Q3" i="3"/>
  <c r="S3" i="3"/>
  <c r="I4" i="3"/>
  <c r="J4" i="3"/>
  <c r="K4" i="3"/>
  <c r="M4" i="3"/>
  <c r="I5" i="3"/>
  <c r="J5" i="3"/>
  <c r="K5" i="3"/>
  <c r="M5" i="3"/>
  <c r="I6" i="3"/>
  <c r="J6" i="3"/>
  <c r="K6" i="3"/>
  <c r="M6" i="3"/>
  <c r="I7" i="3"/>
  <c r="J7" i="3"/>
  <c r="K7" i="3"/>
  <c r="M7" i="3"/>
  <c r="I3" i="3"/>
  <c r="J3" i="3"/>
  <c r="K3" i="3"/>
  <c r="M3" i="3"/>
  <c r="O6" i="2"/>
  <c r="O5" i="2"/>
  <c r="O4" i="2"/>
  <c r="O3" i="2"/>
  <c r="N6" i="2"/>
  <c r="N5" i="2"/>
  <c r="N4" i="2"/>
  <c r="N3" i="2"/>
  <c r="P6" i="2"/>
  <c r="P5" i="2"/>
  <c r="P4" i="2"/>
  <c r="Q6" i="2"/>
  <c r="Q5" i="2"/>
  <c r="Q4" i="2"/>
  <c r="I5" i="2"/>
  <c r="J5" i="2"/>
  <c r="K5" i="2"/>
  <c r="L5" i="2"/>
  <c r="I4" i="2"/>
  <c r="J4" i="2"/>
  <c r="K4" i="2"/>
  <c r="L4" i="2"/>
  <c r="I3" i="2"/>
  <c r="J3" i="2"/>
  <c r="K3" i="2"/>
  <c r="L3" i="2"/>
  <c r="H31" i="1"/>
  <c r="J32" i="1"/>
  <c r="I30" i="1"/>
  <c r="I29" i="1"/>
  <c r="I28" i="1"/>
  <c r="J8" i="1"/>
  <c r="J3" i="1"/>
  <c r="J27" i="1"/>
  <c r="J26" i="1"/>
  <c r="I25" i="1"/>
  <c r="I24" i="1"/>
  <c r="J7" i="1"/>
  <c r="H12" i="1"/>
  <c r="H13" i="1"/>
  <c r="H14" i="1"/>
  <c r="H15" i="1"/>
  <c r="H16" i="1"/>
  <c r="H17" i="1"/>
  <c r="H11" i="1"/>
  <c r="J18" i="1"/>
  <c r="J22" i="1"/>
  <c r="J23" i="1"/>
  <c r="J21" i="1"/>
  <c r="H10" i="1"/>
  <c r="H4" i="1"/>
</calcChain>
</file>

<file path=xl/comments1.xml><?xml version="1.0" encoding="utf-8"?>
<comments xmlns="http://schemas.openxmlformats.org/spreadsheetml/2006/main">
  <authors>
    <author>David Cabo</author>
    <author>eva</author>
  </authors>
  <commentList>
    <comment ref="B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Ya está truncado por el límite en caso de que lo supere </t>
        </r>
      </text>
    </comment>
    <comment ref="A6" authorId="1">
      <text>
        <r>
          <rPr>
            <b/>
            <sz val="9"/>
            <color indexed="81"/>
            <rFont val="Calibri"/>
            <family val="2"/>
          </rPr>
          <t>eva:</t>
        </r>
        <r>
          <rPr>
            <sz val="9"/>
            <color indexed="81"/>
            <rFont val="Calibri"/>
            <family val="2"/>
          </rPr>
          <t xml:space="preserve">
Comparamos con las Autónomicas de 2011, no con las elecciones de 2012</t>
        </r>
      </text>
    </comment>
    <comment ref="B19" authorId="1">
      <text>
        <r>
          <rPr>
            <b/>
            <sz val="9"/>
            <color indexed="81"/>
            <rFont val="Calibri"/>
            <family val="2"/>
          </rPr>
          <t>eva:</t>
        </r>
        <r>
          <rPr>
            <sz val="9"/>
            <color indexed="81"/>
            <rFont val="Calibri"/>
            <family val="2"/>
          </rPr>
          <t xml:space="preserve">
Es la cifra del límite, puesto que el total supera, en un poco, ese máximo legal.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Ver http://www.tribunaldecuentas.com/repositorio/775b09ef-0517-4a92-8a32-fa9ffdbf291b/I_946.pdf</t>
        </r>
      </text>
    </comment>
  </commentList>
</comments>
</file>

<file path=xl/comments2.xml><?xml version="1.0" encoding="utf-8"?>
<comments xmlns="http://schemas.openxmlformats.org/spreadsheetml/2006/main">
  <authors>
    <author>David Cabo</author>
  </authors>
  <commentList>
    <comment ref="L7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No tiene grupo parlamentario</t>
        </r>
      </text>
    </comment>
  </commentList>
</comments>
</file>

<file path=xl/comments3.xml><?xml version="1.0" encoding="utf-8"?>
<comments xmlns="http://schemas.openxmlformats.org/spreadsheetml/2006/main">
  <authors>
    <author>David Cabo</author>
  </authors>
  <commentList>
    <comment ref="K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25% más del gasto permitido en las Elecciones Generales. Pero aplica a las dos elecciones.</t>
        </r>
      </text>
    </comment>
    <comment ref="L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No en Formentera</t>
        </r>
      </text>
    </comment>
    <comment ref="Q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25% más del gasto permitido en las Elecciones Generales. Pero aplica a las dos elecciones.</t>
        </r>
      </text>
    </comment>
    <comment ref="R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No en Formentera</t>
        </r>
      </text>
    </comment>
    <comment ref="W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25% más del gasto permitido en las Elecciones Generales. Pero aplica a las dos elecciones.</t>
        </r>
      </text>
    </comment>
    <comment ref="K4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25% más del gasto permitido en las Elecciones Generales. Pero aplica a las dos elecciones.</t>
        </r>
      </text>
    </comment>
    <comment ref="L4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No en Formentera</t>
        </r>
      </text>
    </comment>
    <comment ref="W4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25% más del gasto permitido en las Elecciones Generales. Pero aplica a las dos elecciones.</t>
        </r>
      </text>
    </comment>
  </commentList>
</comments>
</file>

<file path=xl/comments4.xml><?xml version="1.0" encoding="utf-8"?>
<comments xmlns="http://schemas.openxmlformats.org/spreadsheetml/2006/main">
  <authors>
    <author>David Cabo</author>
  </authors>
  <commentList>
    <comment ref="L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.18€ porque % &gt; 20</t>
        </r>
      </text>
    </comment>
    <comment ref="R3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.18€ porque % &gt; 20</t>
        </r>
      </text>
    </comment>
    <comment ref="L5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.18€ porque % &gt; 20</t>
        </r>
      </text>
    </comment>
    <comment ref="R5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.18€ porque % &gt; 20</t>
        </r>
      </text>
    </comment>
  </commentList>
</comments>
</file>

<file path=xl/comments5.xml><?xml version="1.0" encoding="utf-8"?>
<comments xmlns="http://schemas.openxmlformats.org/spreadsheetml/2006/main">
  <authors>
    <author>David Cabo</author>
  </authors>
  <commentList>
    <comment ref="K4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La ley menciona la concurrencia, habría -creo- que usar las nacionales + 25%</t>
        </r>
      </text>
    </comment>
  </commentList>
</comments>
</file>

<file path=xl/comments6.xml><?xml version="1.0" encoding="utf-8"?>
<comments xmlns="http://schemas.openxmlformats.org/spreadsheetml/2006/main">
  <authors>
    <author>Miguel Ángel Gavilanes García</author>
  </authors>
  <commentList>
    <comment ref="J32" authorId="0">
      <text>
        <r>
          <rPr>
            <b/>
            <sz val="9"/>
            <color indexed="81"/>
            <rFont val="Calibri"/>
            <family val="2"/>
          </rPr>
          <t xml:space="preserve"> Cuando el partido, federación, coalición o agrupación participe, además de en
las elecciones autonómicas, en otros procesos electorales los gastos suplementarios no
podrán superar el 25 por ciento del límite legal de gastos de las elecciones a Cortes
Generales, en relación con el ámbito correspondiente.
</t>
        </r>
      </text>
    </comment>
  </commentList>
</comments>
</file>

<file path=xl/comments7.xml><?xml version="1.0" encoding="utf-8"?>
<comments xmlns="http://schemas.openxmlformats.org/spreadsheetml/2006/main">
  <authors>
    <author>David Cabo</author>
  </authors>
  <commentList>
    <comment ref="F15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Límites extraídos de Excel con datos de Municipales 2011</t>
        </r>
      </text>
    </comment>
    <comment ref="G16" authorId="0">
      <text>
        <r>
          <rPr>
            <b/>
            <sz val="9"/>
            <color indexed="81"/>
            <rFont val="Calibri"/>
            <family val="2"/>
          </rPr>
          <t>David Cabo:</t>
        </r>
        <r>
          <rPr>
            <sz val="9"/>
            <color indexed="81"/>
            <rFont val="Calibri"/>
            <family val="2"/>
          </rPr>
          <t xml:space="preserve">
El PP cumple las condiciones para gasto extraordinario sólo en dos provincias en 2011</t>
        </r>
      </text>
    </comment>
  </commentList>
</comments>
</file>

<file path=xl/sharedStrings.xml><?xml version="1.0" encoding="utf-8"?>
<sst xmlns="http://schemas.openxmlformats.org/spreadsheetml/2006/main" count="725" uniqueCount="266">
  <si>
    <t>Comunidad de Madrid</t>
  </si>
  <si>
    <t>Por escaño</t>
  </si>
  <si>
    <t>Por voto</t>
  </si>
  <si>
    <t>Límite</t>
  </si>
  <si>
    <t>€/hab</t>
  </si>
  <si>
    <t>Población de derecho</t>
  </si>
  <si>
    <t>Total</t>
  </si>
  <si>
    <t>Aragón</t>
  </si>
  <si>
    <t>Con escaño</t>
  </si>
  <si>
    <t>Requisitos para optar</t>
  </si>
  <si>
    <t>Por elector</t>
  </si>
  <si>
    <t>Formar grupo parlamentario</t>
  </si>
  <si>
    <t>Huesca</t>
  </si>
  <si>
    <t>Teruel</t>
  </si>
  <si>
    <t>Zaragoza</t>
  </si>
  <si>
    <t>Asturias</t>
  </si>
  <si>
    <t>3% de los votos</t>
  </si>
  <si>
    <t>Extra</t>
  </si>
  <si>
    <t>Podrá aumentarse 114679,30€</t>
  </si>
  <si>
    <t>http://w3.bocm.es/bocm/Satellite?c=CM_Orden_BOCM&amp;cid=1340457061747&amp;language=es&amp;pagename=Boletin%2FComunes%2FPresentacion%2FBOCM_popUpOrden</t>
  </si>
  <si>
    <t>http://www.boa.aragon.es/cgi-bin/EBOA/BRSCGI?CMD=VERDOC&amp;BASE=BOLE&amp;PIECE=BOLE&amp;DOCS=1-25&amp;DOCR=12&amp;SEC=FIRMA&amp;RNG=200&amp;SEPARADOR=&amp;&amp;PUBL=20150406</t>
  </si>
  <si>
    <t>Decreto</t>
  </si>
  <si>
    <t>Ley Electoral</t>
  </si>
  <si>
    <t xml:space="preserve">Ley del Principado de Asturias 14/1986 </t>
  </si>
  <si>
    <t>https://sede.asturias.es/portal/site/Asturias/menuitem.1003733838db7342ebc4e191100000f7/?vgnextoid=d7d79d16b61ee010VgnVCM1000000100007fRCRD&amp;fecha=04/04/2015&amp;refArticulo=2015-05890&amp;i18n.http.lang=es</t>
  </si>
  <si>
    <t>.</t>
  </si>
  <si>
    <t>Subvenciones por mailing</t>
  </si>
  <si>
    <t>Subvenciones</t>
  </si>
  <si>
    <t>Fuentes</t>
  </si>
  <si>
    <t>Baleares</t>
  </si>
  <si>
    <t>http://www.caib.es/eboibfront/es/2015/10272/561984/orden-del-consejero-de-hacienda-y-presupuestos-de-</t>
  </si>
  <si>
    <t>Parlamento Illes Balears</t>
  </si>
  <si>
    <t>Consejos insulares</t>
  </si>
  <si>
    <t>Ambos</t>
  </si>
  <si>
    <t>Art. 131.2 https://www.boe.es/buscar/doc.php?id=BOE-A-1985-11672</t>
  </si>
  <si>
    <t>Representación (no se incluye en el límite previsto)</t>
  </si>
  <si>
    <t>Canarias</t>
  </si>
  <si>
    <t>&gt;20% votos en CCAA</t>
  </si>
  <si>
    <t>15-20% votos en CCAA</t>
  </si>
  <si>
    <t>5-10% votos en CCAA o mínimo de 20% en isla</t>
  </si>
  <si>
    <t>10-15% votos en CCAA</t>
  </si>
  <si>
    <t>http://www.gobiernodecanarias.org/boc/2015/063/001.html</t>
  </si>
  <si>
    <t>http://sede.gobcan.es/boc/boc-a-2015-063-1480.pdf</t>
  </si>
  <si>
    <t>El Hierro</t>
  </si>
  <si>
    <t>Fuerteventura</t>
  </si>
  <si>
    <t>Gran Canaria</t>
  </si>
  <si>
    <t>La Gomera</t>
  </si>
  <si>
    <t>Lanzarote</t>
  </si>
  <si>
    <t>La Palma</t>
  </si>
  <si>
    <t>Tenerife</t>
  </si>
  <si>
    <t>Cantabria</t>
  </si>
  <si>
    <t>Escaño (no indica en el decreto pero hace referencia a la Ley Electoral)</t>
  </si>
  <si>
    <t>https://boc.cantabria.es/boces/verAnuncioAction.do?idAnuBlob=284977</t>
  </si>
  <si>
    <t>Castilla la Mancha</t>
  </si>
  <si>
    <t>Albacete</t>
  </si>
  <si>
    <t>Ciudad Real</t>
  </si>
  <si>
    <t>Cuenca</t>
  </si>
  <si>
    <t>Guadalajara</t>
  </si>
  <si>
    <t>Toledo</t>
  </si>
  <si>
    <t>http://docm.jccm.es/portaldocm/descargarArchivo.do?ruta=2015/04/17/pdf/2015_4832.pdf&amp;tipo=rutaDocm</t>
  </si>
  <si>
    <t>Extremadura</t>
  </si>
  <si>
    <t>http://www.minhap.gob.es/Documentacion/Boletines/2015/44390.pdf</t>
  </si>
  <si>
    <t>Escaño</t>
  </si>
  <si>
    <t>Badajoz</t>
  </si>
  <si>
    <t>Cáceres</t>
  </si>
  <si>
    <t>La Rioja</t>
  </si>
  <si>
    <t>Mínimo dos escaños</t>
  </si>
  <si>
    <t>Murcia</t>
  </si>
  <si>
    <t>http://www.minhap.gob.es/Documentacion/Boletines/2015/44439.pdf</t>
  </si>
  <si>
    <t>Un escaño (no se incluye en el límte)</t>
  </si>
  <si>
    <t>Valencia</t>
  </si>
  <si>
    <t>Al menos el 3% de los votos</t>
  </si>
  <si>
    <t>Alicante</t>
  </si>
  <si>
    <t>Castellón</t>
  </si>
  <si>
    <t>http://www.minhap.gob.es/Documentacion/Boletines/2015/44443.pdf</t>
  </si>
  <si>
    <t>Navarra</t>
  </si>
  <si>
    <t>–</t>
  </si>
  <si>
    <t>Órgano</t>
  </si>
  <si>
    <t xml:space="preserve"> </t>
  </si>
  <si>
    <t>http://www.ccyl.es/export/sites/ccyl/docs/JuntaElectoral/normativa/Orden-HAC-343-2011.pdf</t>
  </si>
  <si>
    <t>Castilla y León*</t>
  </si>
  <si>
    <t>La candidatura de referencia tiene que obtener representación parlamentaria</t>
  </si>
  <si>
    <t>*No hay nuevo decreto que derogue el de 2011</t>
  </si>
  <si>
    <t>http://www.navarra.es/home_es/Actualidad/BON/Boletines/2015/66/Anuncio-50/</t>
  </si>
  <si>
    <t>Escaño (por circunscripción)</t>
  </si>
  <si>
    <t>http://docm.jccm.es/portaldocm/descargarArchivo.do?ruta=2015/04/29/pdf/2015_5307.pdf&amp;tipo=rutaDocm</t>
  </si>
  <si>
    <t>Recopilación info electoral</t>
  </si>
  <si>
    <t>http://www.juntaelectoralcentral.es/portal/page/portal/JuntaElectoralCentral/JuntaElectoralCentral/ResultElect/Autonom</t>
  </si>
  <si>
    <t>Votos</t>
  </si>
  <si>
    <t>Escaños</t>
  </si>
  <si>
    <t>PP</t>
  </si>
  <si>
    <t>PSOE</t>
  </si>
  <si>
    <t>IU-LV</t>
  </si>
  <si>
    <t>UPyD</t>
  </si>
  <si>
    <t>Fuente</t>
  </si>
  <si>
    <t>http://www.boe.es/buscar/act.php?id=BOE-A-1987-4255&amp;tn=1&amp;p=20061229&amp;vd=#a22</t>
  </si>
  <si>
    <t>Ley electoral</t>
  </si>
  <si>
    <t>Actualización 2015</t>
  </si>
  <si>
    <t>LOREG. Texto consolidado</t>
  </si>
  <si>
    <t>http://www.boe.es/buscar/act.php?id=BOE-A-1985-11672&amp;b=264&amp;tn=1&amp;p=20150331</t>
  </si>
  <si>
    <t>http://w3.bocm.es/boletin/CM_Orden_BOCM/2015/04/01/BOCM-20150401-20.PDF</t>
  </si>
  <si>
    <t>Actualización 2011</t>
  </si>
  <si>
    <t>http://www.bocm.es/boletin/CM_Orden_BOCM/2011/03/31/BOCM-20110331-26.PDF</t>
  </si>
  <si>
    <t>Actualización 2007</t>
  </si>
  <si>
    <t>http://www.madrid.org/wleg/servlet/Servidor?opcion=VerHtml&amp;nmnorma=4529&amp;cdestado=P#_ftnref1</t>
  </si>
  <si>
    <t>Padrón por CCAA</t>
  </si>
  <si>
    <t>http://www.madrid.org/iestadis/fijas/estructu/demograficas/padron/descarga/padccaa.xls</t>
  </si>
  <si>
    <t>2015 (Prov)</t>
  </si>
  <si>
    <t>Total España</t>
  </si>
  <si>
    <t>Andalucía</t>
  </si>
  <si>
    <t>Asturias (Principado de)</t>
  </si>
  <si>
    <t>Balears (IIles)</t>
  </si>
  <si>
    <t>Castilla - La Mancha</t>
  </si>
  <si>
    <t>Castilla y León</t>
  </si>
  <si>
    <t>Cataluña</t>
  </si>
  <si>
    <t>Comunitat Valenciana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</si>
  <si>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</si>
  <si>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</si>
  <si>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</si>
  <si>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</si>
  <si>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</si>
  <si>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</si>
  <si>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Ciudades Autónomas:</t>
  </si>
  <si>
    <t>Ceuta</t>
  </si>
  <si>
    <t>Melilla</t>
  </si>
  <si>
    <t>no si hay municipales</t>
  </si>
  <si>
    <t>(min: 3% votos)</t>
  </si>
  <si>
    <t>http://www.boa.aragon.es/cgi-bin/EBOA/BRSCGI?CMD=VERDOC&amp;BASE=BZHT&amp;PIECE=BOLE&amp;DOCR=1&amp;SEC=BUSQUEDA_AVANZADA&amp;RNG=10&amp;SORT=-PUBL&amp;SEPARADOR=&amp;&amp;TITU=SUBVENCIONES+ELECTORALES+CORRESPONDIENTES+++++++ELECCIONES&amp;SECC-C=BOA+O+DISPOSICIONES+O+PERSONAL+O+ACUERDOS+O+JUSTICIA+O+ANUNCIOS</t>
  </si>
  <si>
    <t>http://www.boa.aragon.es/cgi-bin/EBOA/BRSCGI?CMD=VERDOC&amp;BASE=BZHT&amp;PIECE=BOLE&amp;DOCR=2&amp;SEC=BUSQUEDA_AVANZADA&amp;RNG=10&amp;SORT=-PUBL&amp;SEPARADOR=&amp;&amp;TITU=SUBVENCIONES+ELECTORALES+CORRESPONDIENTES+++++++ELECCIONES&amp;SECC-C=BOA+O+DISPOSICIONES+O+PERSONAL+O+ACUERDOS+O+JUSTICIA+O+ANUNCIOS</t>
  </si>
  <si>
    <t>http://www.boa.aragon.es/cgi-bin/EBOA/BRSCGI?CMD=VERDOC&amp;BASE=BZHT&amp;PIECE=BOLE&amp;DOCR=3&amp;SEC=BUSQUEDA_AVANZADA&amp;RNG=10&amp;SORT=-PUBL&amp;SEPARADOR=&amp;&amp;TITU=SUBVENCIONES+ELECTORALES+CORRESPONDIENTES+++++++ELECCIONES&amp;SECC-C=BOA+O+DISPOSICIONES+O+PERSONAL+O+ACUERDOS+O+JUSTICIA+O+ANUNCIOS</t>
  </si>
  <si>
    <t>PAR</t>
  </si>
  <si>
    <t>CHA</t>
  </si>
  <si>
    <t>IU</t>
  </si>
  <si>
    <t>Mailing</t>
  </si>
  <si>
    <t>Legislación electoral (todas CCAA)</t>
  </si>
  <si>
    <t>http://www.boe.es/legislacion/codigos/codigo.php?id=101&amp;nota=1&amp;tab=2</t>
  </si>
  <si>
    <t>Ley</t>
  </si>
  <si>
    <t>http://www.boe.es/buscar/act.php?id=BOE-A-1987-5339</t>
  </si>
  <si>
    <t>http://www.boe.es/buscar/act.php?id=BOE-A-1987-3910</t>
  </si>
  <si>
    <t>Resultados</t>
  </si>
  <si>
    <t>http://www.congreso.es/consti/elecciones/autonomicas/1997-.htm</t>
  </si>
  <si>
    <t>Fuente 2</t>
  </si>
  <si>
    <t>Foro</t>
  </si>
  <si>
    <t>Fuente CD</t>
  </si>
  <si>
    <t>https://sede.asturias.es/portal/site/Asturias/menuitem.1003733838db7342ebc4e191100000f7/?vgnextoid=d7d79d16b61ee010VgnVCM1000000100007fRCRD&amp;fecha=04/02/2012&amp;refArticulo=2012-02018&amp;i18n.http.lang=es</t>
  </si>
  <si>
    <t>https://sede.asturias.es/portal/site/Asturias/menuitem.1003733838db7342ebc4e191100000f7/?vgnextoid=d7d79d16b61ee010VgnVCM1000000100007fRCRD&amp;fecha=07/04/2007&amp;refArticulo=2007-1407001&amp;i18n.http.lang=es</t>
  </si>
  <si>
    <t>https://sede.asturias.es/portal/site/Asturias/menuitem.1003733838db7342ebc4e191100000f7/?vgnextoid=d7d79d16b61ee010VgnVCM1000000100007fRCRD&amp;fecha=02/04/2011&amp;refArticulo=2011-06750&amp;i18n.http.lang=es</t>
  </si>
  <si>
    <t>http://www.boe.es/buscar/act.php?id=BOE-A-1987-2903</t>
  </si>
  <si>
    <t>UM</t>
  </si>
  <si>
    <t>PSM-Entesa</t>
  </si>
  <si>
    <t>Formentera</t>
  </si>
  <si>
    <t>Bloc~</t>
  </si>
  <si>
    <t>http://boib.caib.es/pdf/2011048/mp98.pdf</t>
  </si>
  <si>
    <t>https://www.boe.es/buscar/doc.php?id=BOE-A-2011-15447</t>
  </si>
  <si>
    <t>Elecciones municipales 2015</t>
  </si>
  <si>
    <t>https://www.boe.es/buscar/doc.php?id=BOE-A-2015-3605</t>
  </si>
  <si>
    <t>(Límite, 0.11€ * habitante)</t>
  </si>
  <si>
    <t>(Aclaración sobre el gasto combinado)</t>
  </si>
  <si>
    <t>http://www.juntaelectoralcentral.es/portal/page/portal/JuntaElectoralCentral/JuntaElectoralCentral/DocJEC?_piref53_1181251_53_1181246_1181246.next_page=/jec/detalleDoctrina&amp;idDoctrina=11208</t>
  </si>
  <si>
    <t>Elecciones generales 2011</t>
  </si>
  <si>
    <t>Elecciones generales 2004</t>
  </si>
  <si>
    <t>https://www.boe.es/buscar/doc.php?id=BOE-A-2004-1364</t>
  </si>
  <si>
    <t>Elecciones generales 2008</t>
  </si>
  <si>
    <t>https://www.boe.es/buscar/doc.php?id=BOE-A-2008-900</t>
  </si>
  <si>
    <t>http://boib.caib.es/pdf/2007050/p137.pdf</t>
  </si>
  <si>
    <t>http://www.boe.es/buscar/act.php?id=BOE-A-2003-7685</t>
  </si>
  <si>
    <t>http://www.gobiernodecanarias.org/boc/2007/069/002.html</t>
  </si>
  <si>
    <t>http://www.gobiernodecanarias.org/boc/2011/067/002.html</t>
  </si>
  <si>
    <t>CC-PNC</t>
  </si>
  <si>
    <t>CC-AHI</t>
  </si>
  <si>
    <t>NC</t>
  </si>
  <si>
    <t>Límites 2007</t>
  </si>
  <si>
    <t>http://www.gobiernodecanarias.org/boc/2007/069/001.html</t>
  </si>
  <si>
    <t>Subvenciones 2007</t>
  </si>
  <si>
    <t>Subvenciones 2011</t>
  </si>
  <si>
    <t>Límites 2011</t>
  </si>
  <si>
    <t>http://www.gobiernodecanarias.org/boc/2011/067/003.html</t>
  </si>
  <si>
    <t>Subvenciones 2015</t>
  </si>
  <si>
    <t>Límites 2015</t>
  </si>
  <si>
    <t>http://www.gobiernodecanarias.org/boc/2015/063/002.html</t>
  </si>
  <si>
    <t>PRC</t>
  </si>
  <si>
    <t>http://www.boe.es/buscar/act.php?id=BOE-A-1987-8958</t>
  </si>
  <si>
    <t>https://boc.cantabria.es/boces/verAnuncioAction.do?idAnuBlob=205688</t>
  </si>
  <si>
    <t>https://boc.cantabria.es/boces/verAnuncioAction.do?idAnuBlob=113846</t>
  </si>
  <si>
    <t>http://www.boe.es/buscar/act.php?id=BOE-A-1987-2164</t>
  </si>
  <si>
    <t>Límite 2015</t>
  </si>
  <si>
    <t>http://docm.jccm.es/portaldocm/descargarArchivo.do?ruta=2011/04/27/pdf/2011_6389.pdf&amp;tipo=rutaDocm</t>
  </si>
  <si>
    <t>http://docm.jccm.es/portaldocm/verDisposicionAntigua.do?ruta=2007/04/20&amp;idDisposicion=123061735306851391</t>
  </si>
  <si>
    <t>Límite 2007</t>
  </si>
  <si>
    <t>http://docm.jccm.es/portaldocm/verDisposicionAntigua.do?ruta=2007/04/04&amp;idDisposicion=123061666622951634</t>
  </si>
  <si>
    <t>Límite 2011</t>
  </si>
  <si>
    <t>http://docm.jccm.es/portaldocm/descargarArchivo.do?ruta=2011/03/30/pdf/2011_5136.pdf&amp;tipo=rutaDocm</t>
  </si>
  <si>
    <t>http://www.boe.es/buscar/act.php?id=BOE-A-1987-9475</t>
  </si>
  <si>
    <t>UPL</t>
  </si>
  <si>
    <t>http://bocyl.jcyl.es/boletines/2011/04/05/pdf/BOCYL-D-05042011-22.pdf</t>
  </si>
  <si>
    <t>http://bocyl.jcyl.es/boletines/2007/04/10/pdf/BOCYL-D-10042007-29.pdf</t>
  </si>
  <si>
    <t>http://www.boe.es/buscar/act.php?id=BOE-A-1987-8817</t>
  </si>
  <si>
    <t>http://doe.gobex.es/pdfs/doe/2007/400o/07050164.pdf</t>
  </si>
  <si>
    <t>http://doe.gobex.es/pdfs/doe/2011/640o/11050089.pdf</t>
  </si>
  <si>
    <t>http://doe.gobex.es/pdfs/doe/2015/630o/15050075.pdf</t>
  </si>
  <si>
    <t>http://www.boe.es/buscar/act.php?id=BOE-A-1991-7743</t>
  </si>
  <si>
    <t>PR</t>
  </si>
  <si>
    <t>http://ias1.larioja.org/boletin/Bor_Boletin_visor_Servlet?referencia=2176421-1-PDF-491123</t>
  </si>
  <si>
    <t>http://www.larioja.org/npRioja/default/defaultpage.jsp?idtab=724659&amp;tipo=2&amp;fecha=2011%2F04%2F01&amp;referencia=889754-1-HTML-433009-X</t>
  </si>
  <si>
    <t>http://www.larioja.org/npRioja/default/defaultpage.jsp?idtab=724659&amp;tipo=2&amp;fecha=2007%2F04%2F07&amp;referencia=682420-1-HTML-365631-X</t>
  </si>
  <si>
    <t>http://www.boe.es/buscar/act.php?id=BOE-A-1987-9474</t>
  </si>
  <si>
    <t>http://www.borm.es/borm/documento?obj=anu&amp;id=315174</t>
  </si>
  <si>
    <t>http://www.borm.es/borm/documento?obj=anu&amp;id=426317</t>
  </si>
  <si>
    <t>http://www.borm.es/borm/documento?obj=anu&amp;id=728517</t>
  </si>
  <si>
    <t>http://www.boe.es/buscar/act.php?id=BOE-A-1987-1255</t>
  </si>
  <si>
    <t>http://www.navarra.es/home_es/Actualidad/BON/Boletines/2007/43/Anuncio-58/</t>
  </si>
  <si>
    <t>http://www.navarra.es/home_es/Actualidad/BON/Boletines/2011/64/Anuncio-151/</t>
  </si>
  <si>
    <t>UPN</t>
  </si>
  <si>
    <t>PSN</t>
  </si>
  <si>
    <t>NB</t>
  </si>
  <si>
    <t>CDN</t>
  </si>
  <si>
    <t>IU-EB</t>
  </si>
  <si>
    <t>Bildu</t>
  </si>
  <si>
    <t>http://www.boe.es/buscar/act.php?id=BOE-A-1987-9636</t>
  </si>
  <si>
    <t>EU-BLOC-Comp</t>
  </si>
  <si>
    <t>Bloc-Comp</t>
  </si>
  <si>
    <t>EU</t>
  </si>
  <si>
    <t>http://www.docv.gva.es/datos/2011/04/01/pdf/2011_3844.pdf</t>
  </si>
  <si>
    <t>http://www.docv.gva.es/datos/2015/04/02/pdf/2015_3035.pdf</t>
  </si>
  <si>
    <t>http://www.docv.gva.es/datos/2007/04/10/pdf/2007_4446.pdf</t>
  </si>
  <si>
    <t>No se toca nada: http://bocyl.jcyl.es/boletines/2011/04/05/pdf/BOCYL-D-05042011-22.pdf</t>
  </si>
  <si>
    <t>Madrid</t>
  </si>
  <si>
    <t>CLM</t>
  </si>
  <si>
    <t>CyL</t>
  </si>
  <si>
    <t>Podemos</t>
  </si>
  <si>
    <t>Ciudadanos</t>
  </si>
  <si>
    <t>Escrutado: 99.96%</t>
  </si>
  <si>
    <t>Escrutado: 99.15%</t>
  </si>
  <si>
    <t>Escrutado: 99.37%</t>
  </si>
  <si>
    <t>Escrutado: 99.18%</t>
  </si>
  <si>
    <t>Escrutado: 99.35%</t>
  </si>
  <si>
    <t>Escrutado: 98.57%</t>
  </si>
  <si>
    <t>Escrutado: 98.26%</t>
  </si>
  <si>
    <t>Escrutado: 99.54%</t>
  </si>
  <si>
    <t>escrutado: 99.84%</t>
  </si>
  <si>
    <t>Escrutinio: 100%</t>
  </si>
  <si>
    <t>Escrutado: 98.91%</t>
  </si>
  <si>
    <t>Escrutado: 99.27</t>
  </si>
  <si>
    <t>PODEMOS</t>
  </si>
  <si>
    <t>C's</t>
  </si>
  <si>
    <t>Autonómicas</t>
  </si>
  <si>
    <t>Municipales</t>
  </si>
  <si>
    <t>Límite Autonómicas</t>
  </si>
  <si>
    <t>Por municipio</t>
  </si>
  <si>
    <t>Provincias</t>
  </si>
  <si>
    <t>Castilla La Mancha</t>
  </si>
  <si>
    <t>Castilla León</t>
  </si>
  <si>
    <t>25% Generales</t>
  </si>
  <si>
    <t>Grand Total</t>
  </si>
  <si>
    <t>Nuestra teoría actual sobre cómo funcionan los límites cuando coinciden varios procesos electorales es que los partidos deben cumplir todos los límites:</t>
  </si>
  <si>
    <t>- Los municipales, que revisa el Tribunal de Cuentas, y que son coinciden bastante con Los que calculamos nosotros</t>
  </si>
  <si>
    <t>- Los autonómicos, revisados por los respectivos tribunales, cuyos informes no hemos revisado</t>
  </si>
  <si>
    <t>- y la suma global de todos Los procesos debe cumplir el requisito extra de no superar el límite de gasto adicional. Esto lo muestra y revisa también el Tribunal de Cuentas.</t>
  </si>
  <si>
    <t>No concurrencia</t>
  </si>
  <si>
    <t>Suma mejores en casos de concurrencia</t>
  </si>
  <si>
    <t>(Límite, 0.32€ * habitante)</t>
  </si>
  <si>
    <t>(Límite, 0.37€ * habitante)</t>
  </si>
  <si>
    <t>(Límite, 0.33€ * habitante)</t>
  </si>
  <si>
    <t>Límite Generales (2008)</t>
  </si>
  <si>
    <t>(Comparar con Tribunal de Cuentas: http://www.tribunaldecuentas.com/repositorio/775b09ef-0517-4a92-8a32-fa9ffdbf291b/I_946.pdf)</t>
  </si>
  <si>
    <t>(En Concurrencia)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</si>
</sst>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€&quot;;[Red]\-#,##0\ &quot;€&quot;"/>
    <numFmt numFmtId="165" formatCode="#,##0.00\ &quot;€&quot;;[Red]\-#,##0.00\ &quot;€&quot;"/>
    <numFmt numFmtId="166" formatCode="#,##0.000000\ &quot;€&quot;;[Red]\-#,##0.000000\ &quot;€&quot;"/>
    <numFmt numFmtId="167" formatCode="#,##0.000000000000000\ &quot;€&quot;;[Red]\-#,##0.000000000000000\ &quot;€&quot;"/>
    <numFmt numFmtId="168" formatCode="#,##0.00000\ &quot;€&quot;;[Red]\-#,##0.00000\ &quot;€&quot;"/>
    <numFmt numFmtId="169" formatCode="#,##0.0000000\ &quot;€&quot;;[Red]\-#,##0.0000000\ &quot;€&quot;"/>
    <numFmt numFmtId="170" formatCode="#,##0.00\ &quot;€&quot;"/>
    <numFmt numFmtId="171" formatCode="&quot;€&quot;#,##0.00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414B56"/>
      <name val="Tahoma"/>
    </font>
    <font>
      <sz val="12"/>
      <color theme="1"/>
      <name val="Arial"/>
    </font>
    <font>
      <i/>
      <sz val="12"/>
      <color theme="0" tint="-0.34998626667073579"/>
      <name val="Calibri"/>
      <scheme val="minor"/>
    </font>
    <font>
      <b/>
      <sz val="9"/>
      <color indexed="8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sz val="12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Verdana"/>
    </font>
    <font>
      <sz val="12"/>
      <color rgb="FF000000"/>
      <name val="Verdana"/>
    </font>
    <font>
      <sz val="8"/>
      <name val="Calibri"/>
      <family val="2"/>
      <scheme val="minor"/>
    </font>
    <font>
      <b/>
      <sz val="1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auto="1"/>
      </bottom>
      <diagonal/>
    </border>
  </borders>
  <cellStyleXfs count="9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2" borderId="9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6" xfId="0" applyFill="1" applyBorder="1"/>
    <xf numFmtId="166" fontId="0" fillId="3" borderId="6" xfId="0" applyNumberFormat="1" applyFill="1" applyBorder="1"/>
    <xf numFmtId="165" fontId="0" fillId="3" borderId="6" xfId="0" applyNumberFormat="1" applyFill="1" applyBorder="1"/>
    <xf numFmtId="168" fontId="0" fillId="3" borderId="9" xfId="0" applyNumberFormat="1" applyFill="1" applyBorder="1"/>
    <xf numFmtId="168" fontId="0" fillId="3" borderId="0" xfId="0" applyNumberFormat="1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165" fontId="0" fillId="3" borderId="9" xfId="0" applyNumberFormat="1" applyFill="1" applyBorder="1"/>
    <xf numFmtId="165" fontId="0" fillId="3" borderId="0" xfId="0" applyNumberFormat="1" applyFill="1" applyBorder="1"/>
    <xf numFmtId="0" fontId="0" fillId="2" borderId="4" xfId="0" applyFill="1" applyBorder="1" applyAlignment="1">
      <alignment horizontal="center" vertical="center"/>
    </xf>
    <xf numFmtId="0" fontId="0" fillId="4" borderId="8" xfId="0" applyFill="1" applyBorder="1"/>
    <xf numFmtId="0" fontId="0" fillId="4" borderId="5" xfId="0" applyFill="1" applyBorder="1"/>
    <xf numFmtId="0" fontId="0" fillId="5" borderId="7" xfId="0" applyFill="1" applyBorder="1"/>
    <xf numFmtId="0" fontId="0" fillId="5" borderId="5" xfId="0" applyFill="1" applyBorder="1"/>
    <xf numFmtId="0" fontId="0" fillId="5" borderId="1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1" xfId="0" applyFill="1" applyBorder="1"/>
    <xf numFmtId="0" fontId="0" fillId="5" borderId="9" xfId="0" applyFill="1" applyBorder="1"/>
    <xf numFmtId="165" fontId="0" fillId="2" borderId="2" xfId="0" applyNumberFormat="1" applyFill="1" applyBorder="1"/>
    <xf numFmtId="9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165" fontId="0" fillId="2" borderId="5" xfId="0" applyNumberFormat="1" applyFill="1" applyBorder="1"/>
    <xf numFmtId="0" fontId="0" fillId="3" borderId="8" xfId="0" applyFill="1" applyBorder="1"/>
    <xf numFmtId="165" fontId="0" fillId="2" borderId="10" xfId="0" applyNumberFormat="1" applyFill="1" applyBorder="1"/>
    <xf numFmtId="0" fontId="0" fillId="3" borderId="11" xfId="0" applyFill="1" applyBorder="1"/>
    <xf numFmtId="165" fontId="0" fillId="2" borderId="1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/>
    <xf numFmtId="0" fontId="0" fillId="2" borderId="2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2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15" xfId="0" applyFill="1" applyBorder="1"/>
    <xf numFmtId="0" fontId="1" fillId="3" borderId="2" xfId="7" applyFill="1" applyBorder="1"/>
    <xf numFmtId="0" fontId="3" fillId="3" borderId="3" xfId="0" applyFont="1" applyFill="1" applyBorder="1"/>
    <xf numFmtId="0" fontId="4" fillId="3" borderId="5" xfId="0" applyFont="1" applyFill="1" applyBorder="1" applyAlignment="1">
      <alignment vertical="center"/>
    </xf>
    <xf numFmtId="0" fontId="1" fillId="3" borderId="2" xfId="7" applyFill="1" applyBorder="1" applyAlignment="1">
      <alignment vertical="center"/>
    </xf>
    <xf numFmtId="0" fontId="1" fillId="3" borderId="10" xfId="7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168" fontId="0" fillId="2" borderId="9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6" fontId="0" fillId="3" borderId="1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 vertical="center"/>
    </xf>
    <xf numFmtId="169" fontId="5" fillId="3" borderId="5" xfId="0" applyNumberFormat="1" applyFont="1" applyFill="1" applyBorder="1" applyAlignment="1">
      <alignment horizontal="center"/>
    </xf>
    <xf numFmtId="169" fontId="5" fillId="3" borderId="10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165" fontId="0" fillId="3" borderId="17" xfId="0" applyNumberFormat="1" applyFill="1" applyBorder="1"/>
    <xf numFmtId="165" fontId="0" fillId="3" borderId="18" xfId="0" applyNumberFormat="1" applyFill="1" applyBorder="1"/>
    <xf numFmtId="165" fontId="0" fillId="3" borderId="19" xfId="0" applyNumberFormat="1" applyFill="1" applyBorder="1"/>
    <xf numFmtId="165" fontId="5" fillId="3" borderId="16" xfId="0" applyNumberFormat="1" applyFont="1" applyFill="1" applyBorder="1"/>
    <xf numFmtId="0" fontId="0" fillId="0" borderId="1" xfId="0" applyFill="1" applyBorder="1" applyAlignment="1">
      <alignment horizontal="center"/>
    </xf>
    <xf numFmtId="170" fontId="5" fillId="3" borderId="16" xfId="0" applyNumberFormat="1" applyFont="1" applyFill="1" applyBorder="1"/>
    <xf numFmtId="3" fontId="5" fillId="3" borderId="0" xfId="0" applyNumberFormat="1" applyFont="1" applyFill="1" applyBorder="1" applyAlignment="1">
      <alignment horizontal="center"/>
    </xf>
    <xf numFmtId="170" fontId="0" fillId="2" borderId="1" xfId="0" applyNumberFormat="1" applyFill="1" applyBorder="1"/>
    <xf numFmtId="164" fontId="0" fillId="2" borderId="2" xfId="0" applyNumberFormat="1" applyFill="1" applyBorder="1"/>
    <xf numFmtId="0" fontId="0" fillId="3" borderId="3" xfId="0" applyFill="1" applyBorder="1" applyAlignment="1">
      <alignment horizontal="center"/>
    </xf>
    <xf numFmtId="164" fontId="0" fillId="3" borderId="16" xfId="0" applyNumberFormat="1" applyFill="1" applyBorder="1"/>
    <xf numFmtId="168" fontId="0" fillId="3" borderId="2" xfId="0" applyNumberFormat="1" applyFill="1" applyBorder="1" applyAlignment="1">
      <alignment horizontal="center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right"/>
    </xf>
    <xf numFmtId="3" fontId="0" fillId="0" borderId="0" xfId="0" applyNumberFormat="1"/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  <xf numFmtId="3" fontId="1" fillId="0" borderId="0" xfId="7" applyNumberFormat="1"/>
    <xf numFmtId="0" fontId="1" fillId="0" borderId="0" xfId="7"/>
    <xf numFmtId="171" fontId="0" fillId="0" borderId="0" xfId="0" applyNumberFormat="1"/>
    <xf numFmtId="0" fontId="9" fillId="8" borderId="3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0" fontId="10" fillId="9" borderId="0" xfId="0" applyFont="1" applyFill="1" applyBorder="1" applyAlignment="1">
      <alignment horizontal="left" wrapText="1"/>
    </xf>
    <xf numFmtId="0" fontId="0" fillId="9" borderId="0" xfId="0" applyFill="1" applyBorder="1" applyAlignment="1"/>
    <xf numFmtId="0" fontId="11" fillId="9" borderId="0" xfId="0" applyFont="1" applyFill="1"/>
    <xf numFmtId="0" fontId="9" fillId="9" borderId="0" xfId="0" applyFont="1" applyFill="1"/>
    <xf numFmtId="0" fontId="9" fillId="8" borderId="0" xfId="0" applyFont="1" applyFill="1" applyBorder="1" applyAlignment="1">
      <alignment horizontal="left" wrapText="1"/>
    </xf>
    <xf numFmtId="3" fontId="9" fillId="10" borderId="0" xfId="0" applyNumberFormat="1" applyFont="1" applyFill="1" applyBorder="1" applyAlignment="1">
      <alignment horizontal="right" wrapText="1"/>
    </xf>
    <xf numFmtId="3" fontId="9" fillId="9" borderId="0" xfId="0" applyNumberFormat="1" applyFont="1" applyFill="1" applyBorder="1" applyAlignment="1">
      <alignment horizontal="right"/>
    </xf>
    <xf numFmtId="3" fontId="9" fillId="9" borderId="0" xfId="0" applyNumberFormat="1" applyFont="1" applyFill="1" applyBorder="1"/>
    <xf numFmtId="3" fontId="0" fillId="9" borderId="0" xfId="0" applyNumberFormat="1" applyFill="1" applyBorder="1"/>
    <xf numFmtId="3" fontId="9" fillId="9" borderId="0" xfId="0" applyNumberFormat="1" applyFont="1" applyFill="1" applyBorder="1" applyAlignment="1">
      <alignment wrapText="1"/>
    </xf>
    <xf numFmtId="0" fontId="9" fillId="10" borderId="0" xfId="0" applyFont="1" applyFill="1" applyBorder="1" applyAlignment="1">
      <alignment horizontal="left" wrapText="1"/>
    </xf>
    <xf numFmtId="3" fontId="0" fillId="0" borderId="0" xfId="0" applyNumberFormat="1" applyBorder="1"/>
    <xf numFmtId="3" fontId="0" fillId="9" borderId="0" xfId="0" applyNumberFormat="1" applyFill="1" applyBorder="1" applyAlignment="1">
      <alignment horizontal="right"/>
    </xf>
    <xf numFmtId="3" fontId="9" fillId="9" borderId="0" xfId="0" applyNumberFormat="1" applyFont="1" applyFill="1"/>
    <xf numFmtId="3" fontId="0" fillId="9" borderId="0" xfId="0" applyNumberFormat="1" applyFill="1" applyBorder="1" applyAlignment="1"/>
    <xf numFmtId="0" fontId="9" fillId="10" borderId="0" xfId="0" applyFont="1" applyFill="1" applyBorder="1" applyAlignment="1">
      <alignment horizontal="right" wrapText="1"/>
    </xf>
    <xf numFmtId="0" fontId="12" fillId="9" borderId="0" xfId="0" applyFont="1" applyFill="1" applyBorder="1" applyAlignment="1"/>
    <xf numFmtId="3" fontId="9" fillId="9" borderId="0" xfId="0" applyNumberFormat="1" applyFont="1" applyFill="1" applyAlignment="1">
      <alignment horizontal="right"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171" fontId="14" fillId="0" borderId="0" xfId="0" applyNumberFormat="1" applyFont="1"/>
    <xf numFmtId="0" fontId="14" fillId="0" borderId="0" xfId="0" applyFont="1"/>
    <xf numFmtId="171" fontId="16" fillId="0" borderId="0" xfId="0" applyNumberFormat="1" applyFont="1"/>
    <xf numFmtId="4" fontId="0" fillId="0" borderId="0" xfId="0" applyNumberFormat="1"/>
    <xf numFmtId="4" fontId="14" fillId="0" borderId="0" xfId="0" applyNumberFormat="1" applyFont="1"/>
    <xf numFmtId="3" fontId="17" fillId="0" borderId="0" xfId="0" applyNumberFormat="1" applyFont="1"/>
    <xf numFmtId="4" fontId="13" fillId="0" borderId="0" xfId="0" applyNumberFormat="1" applyFont="1"/>
    <xf numFmtId="0" fontId="0" fillId="0" borderId="0" xfId="0" applyAlignment="1">
      <alignment horizontal="left"/>
    </xf>
    <xf numFmtId="4" fontId="18" fillId="0" borderId="0" xfId="0" applyNumberFormat="1" applyFont="1"/>
    <xf numFmtId="4" fontId="16" fillId="0" borderId="0" xfId="0" applyNumberFormat="1" applyFont="1"/>
    <xf numFmtId="0" fontId="7" fillId="6" borderId="0" xfId="0" applyFont="1" applyFill="1" applyAlignment="1">
      <alignment horizontal="center"/>
    </xf>
    <xf numFmtId="0" fontId="7" fillId="6" borderId="0" xfId="0" applyNumberFormat="1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4" fontId="19" fillId="6" borderId="0" xfId="0" applyNumberFormat="1" applyFont="1" applyFill="1" applyAlignment="1">
      <alignment horizontal="center"/>
    </xf>
    <xf numFmtId="0" fontId="7" fillId="6" borderId="0" xfId="0" applyNumberFormat="1" applyFont="1" applyFill="1" applyAlignment="1">
      <alignment horizontal="center"/>
    </xf>
    <xf numFmtId="3" fontId="20" fillId="0" borderId="0" xfId="0" applyNumberFormat="1" applyFont="1"/>
    <xf numFmtId="0" fontId="21" fillId="0" borderId="0" xfId="0" applyFont="1"/>
    <xf numFmtId="3" fontId="0" fillId="0" borderId="0" xfId="0" applyNumberFormat="1" applyFont="1"/>
    <xf numFmtId="4" fontId="0" fillId="11" borderId="0" xfId="0" applyNumberFormat="1" applyFill="1"/>
    <xf numFmtId="171" fontId="0" fillId="11" borderId="0" xfId="0" applyNumberFormat="1" applyFill="1"/>
    <xf numFmtId="4" fontId="0" fillId="0" borderId="0" xfId="0" applyNumberFormat="1" applyFont="1"/>
    <xf numFmtId="0" fontId="0" fillId="0" borderId="0" xfId="0" quotePrefix="1"/>
    <xf numFmtId="4" fontId="23" fillId="0" borderId="0" xfId="0" applyNumberFormat="1" applyFont="1"/>
    <xf numFmtId="0" fontId="0" fillId="0" borderId="0" xfId="0" applyNumberFormat="1"/>
    <xf numFmtId="171" fontId="0" fillId="0" borderId="0" xfId="0" applyNumberFormat="1" applyAlignment="1">
      <alignment horizontal="right"/>
    </xf>
    <xf numFmtId="0" fontId="0" fillId="11" borderId="0" xfId="0" applyFill="1"/>
    <xf numFmtId="0" fontId="7" fillId="6" borderId="0" xfId="0" applyNumberFormat="1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0" xfId="0" applyAlignment="1"/>
    <xf numFmtId="0" fontId="8" fillId="7" borderId="0" xfId="0" applyFont="1" applyFill="1" applyAlignment="1">
      <alignment horizontal="center"/>
    </xf>
    <xf numFmtId="9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/>
    <xf numFmtId="3" fontId="0" fillId="3" borderId="20" xfId="0" applyNumberForma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10" xfId="7" applyFill="1" applyBorder="1" applyAlignment="1">
      <alignment horizontal="left" vertical="center"/>
    </xf>
    <xf numFmtId="0" fontId="1" fillId="3" borderId="12" xfId="7" applyFill="1" applyBorder="1" applyAlignment="1">
      <alignment horizontal="left" vertical="center"/>
    </xf>
    <xf numFmtId="0" fontId="1" fillId="3" borderId="5" xfId="7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5" xfId="7" applyFill="1" applyBorder="1" applyAlignment="1">
      <alignment horizontal="center" vertical="center"/>
    </xf>
    <xf numFmtId="0" fontId="1" fillId="3" borderId="10" xfId="7" applyFill="1" applyBorder="1" applyAlignment="1">
      <alignment horizontal="center" vertical="center"/>
    </xf>
    <xf numFmtId="0" fontId="1" fillId="3" borderId="12" xfId="7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right" vertical="center"/>
    </xf>
    <xf numFmtId="165" fontId="5" fillId="3" borderId="18" xfId="0" applyNumberFormat="1" applyFont="1" applyFill="1" applyBorder="1" applyAlignment="1">
      <alignment horizontal="right" vertical="center"/>
    </xf>
    <xf numFmtId="165" fontId="5" fillId="3" borderId="19" xfId="0" applyNumberFormat="1" applyFont="1" applyFill="1" applyBorder="1" applyAlignment="1">
      <alignment horizontal="right" vertical="center"/>
    </xf>
    <xf numFmtId="167" fontId="0" fillId="3" borderId="5" xfId="0" applyNumberFormat="1" applyFill="1" applyBorder="1" applyAlignment="1">
      <alignment horizontal="center" vertical="center"/>
    </xf>
    <xf numFmtId="167" fontId="0" fillId="3" borderId="10" xfId="0" applyNumberFormat="1" applyFill="1" applyBorder="1" applyAlignment="1">
      <alignment horizontal="center" vertical="center"/>
    </xf>
    <xf numFmtId="167" fontId="0" fillId="3" borderId="12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9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resultadoelecciones2015.gobex.es/10AU/DAU10999CM_L1.htm" TargetMode="External"/><Relationship Id="rId4" Type="http://schemas.openxmlformats.org/officeDocument/2006/relationships/vmlDrawing" Target="../drawings/vmlDrawing5.vml"/><Relationship Id="rId5" Type="http://schemas.openxmlformats.org/officeDocument/2006/relationships/comments" Target="../comments5.xml"/><Relationship Id="rId1" Type="http://schemas.openxmlformats.org/officeDocument/2006/relationships/hyperlink" Target="http://www.congreso.es/consti/elecciones/autonomicas/resultados.jsp?com=72&amp;fecha=27/05/2007" TargetMode="External"/><Relationship Id="rId2" Type="http://schemas.openxmlformats.org/officeDocument/2006/relationships/hyperlink" Target="http://www.congreso.es/consti/elecciones/autonomicas/resultados.jsp?com=72&amp;fecha=22/05/201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.es/consti/elecciones/autonomicas/resultados.jsp?com=77&amp;fecha=27/05/2007" TargetMode="External"/><Relationship Id="rId2" Type="http://schemas.openxmlformats.org/officeDocument/2006/relationships/hyperlink" Target="http://www.larioja.org/npRioja/default/defaultpage.jsp?idtab=883644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.es/consti/elecciones/autonomicas/resultados.jsp?com=78&amp;fecha=27/05/2007" TargetMode="External"/><Relationship Id="rId2" Type="http://schemas.openxmlformats.org/officeDocument/2006/relationships/hyperlink" Target="http://www.congreso.es/consti/elecciones/autonomicas/resultados.jsp?com=78&amp;fecha=22/05/2011" TargetMode="External"/><Relationship Id="rId3" Type="http://schemas.openxmlformats.org/officeDocument/2006/relationships/hyperlink" Target="http://resultadoselecciones2015.carm.es/15AU/DAU15999CM_L1.ht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.es/consti/elecciones/autonomicas/resultados.jsp?com=75&amp;fecha=22/05/2011" TargetMode="External"/><Relationship Id="rId2" Type="http://schemas.openxmlformats.org/officeDocument/2006/relationships/hyperlink" Target="http://www.congreso.es/consti/elecciones/autonomicas/resultados.jsp?com=75&amp;fecha=27/05/2007" TargetMode="External"/><Relationship Id="rId3" Type="http://schemas.openxmlformats.org/officeDocument/2006/relationships/hyperlink" Target="http://www.elecciones2015.navarra.es/13AU/DAU13999CM_L1.ht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sultats2015.gva.es/17AU/DAU17999CM_L1.htm" TargetMode="External"/></Relationships>
</file>

<file path=xl/worksheets/_rels/sheet15.xml.rels><?xml version="1.0" encoding="UTF-8" standalone="yes"?>
<Relationships xmlns="http://schemas.openxmlformats.org/package/2006/relationships"><Relationship Id="rId11" Type="http://schemas.openxmlformats.org/officeDocument/2006/relationships/vmlDrawing" Target="../drawings/vmlDrawing6.vml"/><Relationship Id="rId12" Type="http://schemas.openxmlformats.org/officeDocument/2006/relationships/comments" Target="../comments6.xml"/><Relationship Id="rId1" Type="http://schemas.openxmlformats.org/officeDocument/2006/relationships/hyperlink" Target="http://w3.bocm.es/bocm/Satellite?c=CM_Orden_BOCM&amp;cid=1340457061747&amp;language=es&amp;pagename=Boletin%2FComunes%2FPresentacion%2FBOCM_popUpOrden" TargetMode="External"/><Relationship Id="rId2" Type="http://schemas.openxmlformats.org/officeDocument/2006/relationships/hyperlink" Target="http://www.boa.aragon.es/cgi-bin/EBOA/BRSCGI?CMD=VERDOC&amp;BASE=BOLE&amp;PIECE=BOLE&amp;DOCS=1-25&amp;DOCR=12&amp;SEC=FIRMA&amp;RNG=200&amp;SEPARADOR=&amp;&amp;PUBL=20150406" TargetMode="External"/><Relationship Id="rId3" Type="http://schemas.openxmlformats.org/officeDocument/2006/relationships/hyperlink" Target="https://sede.asturias.es/portal/site/Asturias/menuitem.1003733838db7342ebc4e191100000f7/?vgnextoid=d7d79d16b61ee010VgnVCM1000000100007fRCRD&amp;fecha=04/04/2015&amp;refArticulo=2015-05890&amp;i18n.http.lang=es" TargetMode="External"/><Relationship Id="rId4" Type="http://schemas.openxmlformats.org/officeDocument/2006/relationships/hyperlink" Target="http://www.caib.es/eboibfront/es/2015/10272/561984/orden-del-consejero-de-hacienda-y-presupuestos-de-" TargetMode="External"/><Relationship Id="rId5" Type="http://schemas.openxmlformats.org/officeDocument/2006/relationships/hyperlink" Target="http://www.gobiernodecanarias.org/boc/2015/063/001.html" TargetMode="External"/><Relationship Id="rId6" Type="http://schemas.openxmlformats.org/officeDocument/2006/relationships/hyperlink" Target="http://sede.gobcan.es/boc/boc-a-2015-063-1480.pdf" TargetMode="External"/><Relationship Id="rId7" Type="http://schemas.openxmlformats.org/officeDocument/2006/relationships/hyperlink" Target="https://boc.cantabria.es/boces/verAnuncioAction.do?idAnuBlob=284977" TargetMode="External"/><Relationship Id="rId8" Type="http://schemas.openxmlformats.org/officeDocument/2006/relationships/hyperlink" Target="http://www.minhap.gob.es/Documentacion/Boletines/2015/44439.pdf" TargetMode="External"/><Relationship Id="rId9" Type="http://schemas.openxmlformats.org/officeDocument/2006/relationships/hyperlink" Target="http://www.minhap.gob.es/Documentacion/Boletines/2015/44443.pdf" TargetMode="External"/><Relationship Id="rId10" Type="http://schemas.openxmlformats.org/officeDocument/2006/relationships/hyperlink" Target="http://www.boe.es/buscar/act.php?id=BOE-A-1985-11672&amp;b=264&amp;tn=1&amp;p=20150331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electoralcentral.es/jelect/MADRID_2011_Resultados.pdf" TargetMode="External"/><Relationship Id="rId2" Type="http://schemas.openxmlformats.org/officeDocument/2006/relationships/hyperlink" Target="http://www.juntaelectoralcentral.es/jelect/MADRID_2007_ResultadosyElectos.pdf" TargetMode="External"/><Relationship Id="rId3" Type="http://schemas.openxmlformats.org/officeDocument/2006/relationships/hyperlink" Target="http://resultados2015.madrid.org/12AU/DAU12999CM_L1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esultados.elecciones.aragon.es/02AU/DAU02999CM_L1.htm" TargetMode="External"/><Relationship Id="rId4" Type="http://schemas.openxmlformats.org/officeDocument/2006/relationships/vmlDrawing" Target="../drawings/vmlDrawing2.vml"/><Relationship Id="rId5" Type="http://schemas.openxmlformats.org/officeDocument/2006/relationships/comments" Target="../comments2.xml"/><Relationship Id="rId1" Type="http://schemas.openxmlformats.org/officeDocument/2006/relationships/hyperlink" Target="http://www.juntaelectoralcentral.es/jelect/ARAGON_2007_Resultados.pdf" TargetMode="External"/><Relationship Id="rId2" Type="http://schemas.openxmlformats.org/officeDocument/2006/relationships/hyperlink" Target="http://www.juntaelectoralcentral.es/jelect/ARAGON_2011_Resultado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.es/consti/elecciones/autonomicas/resultados.jsp?com=65&amp;fecha=22/05/2011" TargetMode="External"/><Relationship Id="rId4" Type="http://schemas.openxmlformats.org/officeDocument/2006/relationships/hyperlink" Target="http://www.congreso.es/consti/elecciones/autonomicas/resultados.jsp?com=65&amp;fecha=25/03/2012" TargetMode="External"/><Relationship Id="rId5" Type="http://schemas.openxmlformats.org/officeDocument/2006/relationships/hyperlink" Target="http://www.resultadoselecciones2015.asturias.es/03AU/DAU03999CM_L1.htm" TargetMode="External"/><Relationship Id="rId1" Type="http://schemas.openxmlformats.org/officeDocument/2006/relationships/hyperlink" Target="http://www.juntaelectoralcentral.es/jelect/ASTURIAS_2007_Resultados.pdf" TargetMode="External"/><Relationship Id="rId2" Type="http://schemas.openxmlformats.org/officeDocument/2006/relationships/hyperlink" Target="v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ib.es/eboibfront/es/2015/10272/561984/orden-del-consejero-de-hacienda-y-presupuestos-de-" TargetMode="External"/><Relationship Id="rId4" Type="http://schemas.openxmlformats.org/officeDocument/2006/relationships/hyperlink" Target="http://www.resultatseleccions2015.caib.es/04AU/DAU04999CM_L1.htm" TargetMode="External"/><Relationship Id="rId5" Type="http://schemas.openxmlformats.org/officeDocument/2006/relationships/vmlDrawing" Target="../drawings/vmlDrawing3.vml"/><Relationship Id="rId6" Type="http://schemas.openxmlformats.org/officeDocument/2006/relationships/comments" Target="../comments3.xml"/><Relationship Id="rId1" Type="http://schemas.openxmlformats.org/officeDocument/2006/relationships/hyperlink" Target="http://www.congreso.es/consti/elecciones/autonomicas/resultados.jsp?com=66&amp;fecha=27/05/2007" TargetMode="External"/><Relationship Id="rId2" Type="http://schemas.openxmlformats.org/officeDocument/2006/relationships/hyperlink" Target="http://www.congreso.es/consti/elecciones/autonomicas/resultados.jsp?com=66&amp;fecha=22/05/201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lecciones2015.gobcan.es/05AU/DAU05999CM_L1.htm" TargetMode="External"/><Relationship Id="rId4" Type="http://schemas.openxmlformats.org/officeDocument/2006/relationships/vmlDrawing" Target="../drawings/vmlDrawing4.vml"/><Relationship Id="rId5" Type="http://schemas.openxmlformats.org/officeDocument/2006/relationships/comments" Target="../comments4.xml"/><Relationship Id="rId1" Type="http://schemas.openxmlformats.org/officeDocument/2006/relationships/hyperlink" Target="http://www.congreso.es/consti/elecciones/autonomicas/resultados.jsp?com=68&amp;fecha=27/05/2007" TargetMode="External"/><Relationship Id="rId2" Type="http://schemas.openxmlformats.org/officeDocument/2006/relationships/hyperlink" Target="http://www.congreso.es/consti/elecciones/autonomicas/resultados.jsp?com=68&amp;fecha=22/05/201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electoralcentral.es/jelect/CANTABRIA_2007_Resultados.pdf" TargetMode="External"/><Relationship Id="rId2" Type="http://schemas.openxmlformats.org/officeDocument/2006/relationships/hyperlink" Target="http://www.juntaelectoralcentral.es/jelect/CANTABRIA_2011_Resultados.pdf" TargetMode="External"/><Relationship Id="rId3" Type="http://schemas.openxmlformats.org/officeDocument/2006/relationships/hyperlink" Target="http://parlamento2015.cantabria.es/06AU/DAU06999CM_L1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.es/consti/elecciones/autonomicas/resultados.jsp?com=71&amp;fecha=27/05/2007" TargetMode="External"/><Relationship Id="rId2" Type="http://schemas.openxmlformats.org/officeDocument/2006/relationships/hyperlink" Target="http://www.congreso.es/consti/elecciones/autonomicas/resultados.jsp?com=71&amp;fecha=22/05/2011" TargetMode="External"/><Relationship Id="rId3" Type="http://schemas.openxmlformats.org/officeDocument/2006/relationships/hyperlink" Target="http://elecciones2015.castillalamancha.es/resultado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.es/consti/elecciones/autonomicas/resultados.jsp?com=70&amp;fecha=27/05/2007" TargetMode="External"/><Relationship Id="rId2" Type="http://schemas.openxmlformats.org/officeDocument/2006/relationships/hyperlink" Target="http://www.congreso.es/consti/elecciones/autonomicas/resultados.jsp?com=70&amp;fecha=22/05/2011" TargetMode="External"/><Relationship Id="rId3" Type="http://schemas.openxmlformats.org/officeDocument/2006/relationships/hyperlink" Target="http://www.jcyl.es/web/jcyl/Elecciones/es/Plantilla66y33/1265096502562/_/_/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5" sqref="C25"/>
    </sheetView>
  </sheetViews>
  <sheetFormatPr baseColWidth="10" defaultRowHeight="15" x14ac:dyDescent="0"/>
  <cols>
    <col min="1" max="1" width="16.33203125" style="124" bestFit="1" customWidth="1"/>
    <col min="2" max="2" width="12.83203125" style="126" bestFit="1" customWidth="1"/>
    <col min="3" max="3" width="12.83203125" style="126" customWidth="1"/>
    <col min="4" max="4" width="11.83203125" style="126" bestFit="1" customWidth="1"/>
    <col min="5" max="6" width="12.83203125" style="126" bestFit="1" customWidth="1"/>
    <col min="7" max="7" width="11.83203125" style="126" bestFit="1" customWidth="1"/>
    <col min="8" max="8" width="3.1640625" customWidth="1"/>
    <col min="9" max="9" width="12.83203125" style="126" bestFit="1" customWidth="1"/>
    <col min="10" max="10" width="12.83203125" style="126" customWidth="1"/>
    <col min="11" max="11" width="11.83203125" style="126" bestFit="1" customWidth="1"/>
    <col min="12" max="13" width="12.83203125" style="126" bestFit="1" customWidth="1"/>
    <col min="14" max="14" width="11.83203125" style="126" bestFit="1" customWidth="1"/>
    <col min="15" max="15" width="3.1640625" customWidth="1"/>
    <col min="16" max="16" width="11.83203125" style="126" bestFit="1" customWidth="1"/>
    <col min="17" max="17" width="12.83203125" style="126" bestFit="1" customWidth="1"/>
    <col min="18" max="18" width="11.83203125" style="126" bestFit="1" customWidth="1"/>
    <col min="19" max="19" width="3.1640625" customWidth="1"/>
    <col min="20" max="20" width="11.83203125" bestFit="1" customWidth="1"/>
    <col min="21" max="21" width="12.83203125" bestFit="1" customWidth="1"/>
    <col min="22" max="23" width="11.83203125" bestFit="1" customWidth="1"/>
    <col min="24" max="24" width="12.83203125" bestFit="1" customWidth="1"/>
    <col min="25" max="25" width="11.83203125" bestFit="1" customWidth="1"/>
    <col min="26" max="26" width="3.1640625" customWidth="1"/>
    <col min="27" max="27" width="11.83203125" bestFit="1" customWidth="1"/>
    <col min="28" max="29" width="12.83203125" bestFit="1" customWidth="1"/>
    <col min="30" max="30" width="11.83203125" bestFit="1" customWidth="1"/>
    <col min="32" max="32" width="11.33203125" bestFit="1" customWidth="1"/>
  </cols>
  <sheetData>
    <row r="1" spans="1:32" s="91" customFormat="1">
      <c r="B1" s="150" t="s">
        <v>90</v>
      </c>
      <c r="C1" s="150"/>
      <c r="D1" s="150"/>
      <c r="E1" s="150"/>
      <c r="F1" s="150"/>
      <c r="G1" s="150"/>
      <c r="I1" s="150" t="s">
        <v>91</v>
      </c>
      <c r="J1" s="150"/>
      <c r="K1" s="150"/>
      <c r="L1" s="150"/>
      <c r="M1" s="150"/>
      <c r="N1" s="150"/>
      <c r="P1" s="150" t="s">
        <v>243</v>
      </c>
      <c r="Q1" s="150"/>
      <c r="R1" s="150"/>
      <c r="T1" s="150" t="s">
        <v>244</v>
      </c>
      <c r="U1" s="150"/>
      <c r="V1" s="150"/>
      <c r="W1" s="151"/>
      <c r="X1" s="151"/>
      <c r="Y1" s="151"/>
      <c r="AA1" s="150" t="s">
        <v>93</v>
      </c>
      <c r="AB1" s="150"/>
      <c r="AC1" s="150"/>
      <c r="AD1" s="151"/>
      <c r="AE1" s="151"/>
      <c r="AF1" s="151"/>
    </row>
    <row r="2" spans="1:32" s="134" customFormat="1">
      <c r="B2" s="149">
        <v>2011</v>
      </c>
      <c r="C2" s="149"/>
      <c r="D2" s="149"/>
      <c r="E2" s="149">
        <v>2015</v>
      </c>
      <c r="F2" s="149"/>
      <c r="G2" s="149"/>
      <c r="H2" s="137"/>
      <c r="I2" s="149">
        <v>2011</v>
      </c>
      <c r="J2" s="149"/>
      <c r="K2" s="149"/>
      <c r="L2" s="149">
        <v>2015</v>
      </c>
      <c r="M2" s="149"/>
      <c r="N2" s="149"/>
      <c r="P2" s="149">
        <v>2015</v>
      </c>
      <c r="Q2" s="149"/>
      <c r="R2" s="149"/>
      <c r="S2" s="137"/>
      <c r="T2" s="149">
        <v>2011</v>
      </c>
      <c r="U2" s="149"/>
      <c r="V2" s="149"/>
      <c r="W2" s="149">
        <v>2015</v>
      </c>
      <c r="X2" s="149"/>
      <c r="Y2" s="149"/>
      <c r="Z2" s="137"/>
      <c r="AA2" s="149">
        <v>2011</v>
      </c>
      <c r="AB2" s="149"/>
      <c r="AC2" s="149"/>
      <c r="AD2" s="149">
        <v>2015</v>
      </c>
      <c r="AE2" s="149"/>
      <c r="AF2" s="149"/>
    </row>
    <row r="3" spans="1:32" s="135" customFormat="1">
      <c r="A3" s="133"/>
      <c r="B3" s="136" t="s">
        <v>6</v>
      </c>
      <c r="C3" s="136" t="s">
        <v>3</v>
      </c>
      <c r="D3" s="136" t="s">
        <v>133</v>
      </c>
      <c r="E3" s="136" t="s">
        <v>6</v>
      </c>
      <c r="F3" s="136" t="s">
        <v>3</v>
      </c>
      <c r="G3" s="136" t="s">
        <v>133</v>
      </c>
      <c r="I3" s="136" t="s">
        <v>6</v>
      </c>
      <c r="J3" s="136" t="s">
        <v>3</v>
      </c>
      <c r="K3" s="136" t="s">
        <v>133</v>
      </c>
      <c r="L3" s="136" t="s">
        <v>6</v>
      </c>
      <c r="M3" s="136" t="s">
        <v>3</v>
      </c>
      <c r="N3" s="136" t="s">
        <v>133</v>
      </c>
      <c r="P3" s="136" t="s">
        <v>6</v>
      </c>
      <c r="Q3" s="136" t="s">
        <v>3</v>
      </c>
      <c r="R3" s="136" t="s">
        <v>133</v>
      </c>
      <c r="T3" s="136" t="s">
        <v>6</v>
      </c>
      <c r="U3" s="136" t="s">
        <v>3</v>
      </c>
      <c r="V3" s="136" t="s">
        <v>133</v>
      </c>
      <c r="W3" s="136" t="s">
        <v>6</v>
      </c>
      <c r="X3" s="136" t="s">
        <v>3</v>
      </c>
      <c r="Y3" s="136" t="s">
        <v>133</v>
      </c>
      <c r="AA3" s="136" t="s">
        <v>6</v>
      </c>
      <c r="AB3" s="136" t="s">
        <v>3</v>
      </c>
      <c r="AC3" s="136" t="s">
        <v>133</v>
      </c>
      <c r="AD3" s="136" t="s">
        <v>6</v>
      </c>
      <c r="AE3" s="136" t="s">
        <v>3</v>
      </c>
      <c r="AF3" s="136" t="s">
        <v>133</v>
      </c>
    </row>
    <row r="4" spans="1:32">
      <c r="A4" s="124" t="s">
        <v>226</v>
      </c>
      <c r="B4" s="126">
        <f>Madrid!Q3</f>
        <v>3002434.02</v>
      </c>
      <c r="C4" s="141">
        <f>Madrid!P3</f>
        <v>3229342</v>
      </c>
      <c r="E4" s="126">
        <f>Madrid!V3</f>
        <v>2071344.1347519998</v>
      </c>
      <c r="F4" s="141">
        <f>Q4</f>
        <v>3358083.7710000002</v>
      </c>
      <c r="I4" s="126">
        <f>Madrid!N4+Madrid!O4</f>
        <v>1513482.45</v>
      </c>
      <c r="J4" s="141">
        <f>C4</f>
        <v>3229342</v>
      </c>
      <c r="L4" s="126">
        <f>Madrid!S4+Madrid!T4</f>
        <v>1594141.3758640001</v>
      </c>
      <c r="M4" s="141">
        <f>F4</f>
        <v>3358083.7710000002</v>
      </c>
      <c r="P4" s="126">
        <f>Madrid!V7</f>
        <v>1164066.254958</v>
      </c>
      <c r="Q4" s="141">
        <f>Madrid!U7</f>
        <v>3358083.7710000002</v>
      </c>
      <c r="T4" s="99"/>
      <c r="U4" s="142"/>
      <c r="V4" s="99"/>
      <c r="W4" s="126">
        <f>Madrid!V8</f>
        <v>747215.79130799999</v>
      </c>
      <c r="X4" s="141">
        <f>Q4</f>
        <v>3358083.7710000002</v>
      </c>
      <c r="Y4" s="126"/>
      <c r="Z4" s="126"/>
      <c r="AA4" s="126">
        <f>Madrid!N6+Madrid!O6</f>
        <v>350794.99</v>
      </c>
      <c r="AB4" s="126">
        <f>Madrid!P3</f>
        <v>3229342</v>
      </c>
      <c r="AC4" s="99"/>
      <c r="AD4" s="99"/>
      <c r="AE4" s="99"/>
      <c r="AF4" s="99"/>
    </row>
    <row r="5" spans="1:32">
      <c r="A5" s="124" t="s">
        <v>7</v>
      </c>
      <c r="B5" s="126">
        <f>Aragón!O4+Aragón!P4</f>
        <v>583312.64000000001</v>
      </c>
      <c r="C5" s="141">
        <f>Aragón!Q4</f>
        <v>775292.5</v>
      </c>
      <c r="D5" s="126">
        <f>Aragón!R4</f>
        <v>193043.99</v>
      </c>
      <c r="E5" s="126">
        <f>Aragón!U4+Aragón!V4</f>
        <v>402958.34</v>
      </c>
      <c r="F5" s="141">
        <f t="shared" ref="F5:F16" si="0">Q5</f>
        <v>775292.5</v>
      </c>
      <c r="G5" s="126">
        <f>Aragón!X4</f>
        <v>187907.15</v>
      </c>
      <c r="I5" s="126">
        <f>Aragón!O3+Aragón!P3</f>
        <v>427297.28000000003</v>
      </c>
      <c r="J5" s="141">
        <f t="shared" ref="J5:J16" si="1">C5</f>
        <v>775292.5</v>
      </c>
      <c r="K5" s="126">
        <f>Aragón!R3</f>
        <v>193043.99</v>
      </c>
      <c r="L5" s="126">
        <f>Aragón!U3+Aragón!V3</f>
        <v>334552.44</v>
      </c>
      <c r="M5" s="141">
        <f t="shared" ref="M5:M16" si="2">F5</f>
        <v>775292.5</v>
      </c>
      <c r="N5" s="126">
        <f>Aragón!X3</f>
        <v>187907.15</v>
      </c>
      <c r="P5" s="126">
        <f>Aragón!U8+Aragón!V8</f>
        <v>279569.72000000003</v>
      </c>
      <c r="Q5" s="141">
        <f>Aragón!W8</f>
        <v>775292.5</v>
      </c>
      <c r="R5" s="126">
        <f>Aragón!X8</f>
        <v>187907.15</v>
      </c>
      <c r="T5" s="99"/>
      <c r="U5" s="142"/>
      <c r="V5" s="99"/>
      <c r="W5" s="126">
        <f>Aragón!U9+Aragón!V9</f>
        <v>110315.98000000001</v>
      </c>
      <c r="X5" s="141">
        <f t="shared" ref="X5:X16" si="3">Q5</f>
        <v>775292.5</v>
      </c>
      <c r="Y5" s="126">
        <f>Aragón!X9</f>
        <v>187907.15</v>
      </c>
      <c r="Z5" s="126"/>
      <c r="AA5" s="126"/>
      <c r="AB5" s="126"/>
      <c r="AC5" s="99"/>
      <c r="AD5" s="99"/>
      <c r="AE5" s="99"/>
      <c r="AF5" s="99"/>
    </row>
    <row r="6" spans="1:32">
      <c r="A6" s="124" t="s">
        <v>15</v>
      </c>
      <c r="B6" s="126">
        <f>Asturias!U3+Asturias!V3</f>
        <v>230828.95</v>
      </c>
      <c r="C6" s="141">
        <f>Asturias!W3</f>
        <v>683037.55</v>
      </c>
      <c r="E6" s="126">
        <f>Asturias!Z3+Asturias!AA3</f>
        <v>257466.21999999997</v>
      </c>
      <c r="F6" s="141">
        <f t="shared" si="0"/>
        <v>694417.38000000012</v>
      </c>
      <c r="I6" s="126">
        <f>Asturias!U4+Asturias!V4</f>
        <v>375462.44</v>
      </c>
      <c r="J6" s="141">
        <f t="shared" si="1"/>
        <v>683037.55</v>
      </c>
      <c r="L6" s="126">
        <f>Asturias!Z4+Asturias!AA4</f>
        <v>323469.57999999996</v>
      </c>
      <c r="M6" s="141">
        <f t="shared" si="2"/>
        <v>694417.38000000012</v>
      </c>
      <c r="P6" s="126">
        <f>Asturias!Z8+Asturias!AA8</f>
        <v>216292.19</v>
      </c>
      <c r="Q6" s="141">
        <f>Asturias!AB8</f>
        <v>694417.38000000012</v>
      </c>
      <c r="T6" s="99"/>
      <c r="U6" s="142"/>
      <c r="V6" s="99"/>
      <c r="W6" s="126">
        <f>Asturias!Z9+Asturias!AA9</f>
        <v>59992.83</v>
      </c>
      <c r="X6" s="141">
        <f t="shared" si="3"/>
        <v>694417.38000000012</v>
      </c>
      <c r="Y6" s="126"/>
      <c r="Z6" s="126"/>
      <c r="AA6" s="126"/>
      <c r="AB6" s="126"/>
      <c r="AC6" s="99"/>
      <c r="AD6" s="99"/>
      <c r="AE6" s="99"/>
      <c r="AF6" s="99"/>
    </row>
    <row r="7" spans="1:32">
      <c r="A7" s="124" t="s">
        <v>29</v>
      </c>
      <c r="B7" s="126">
        <f>Baleares!O3+Baleares!P3</f>
        <v>578732.06639000005</v>
      </c>
      <c r="C7" s="141">
        <f>Baleares!Q3</f>
        <v>511547.66250000003</v>
      </c>
      <c r="D7" s="126">
        <f>Baleares!R3</f>
        <v>126607.89514000001</v>
      </c>
      <c r="E7" s="126">
        <f>Baleares!U3+Baleares!V3</f>
        <v>349570.34133000002</v>
      </c>
      <c r="F7" s="141">
        <f t="shared" si="0"/>
        <v>455169.82499999995</v>
      </c>
      <c r="G7" s="126">
        <f>Baleares!X3</f>
        <v>139827.74040000001</v>
      </c>
      <c r="I7" s="126">
        <f>Baleares!O4+Baleares!P4</f>
        <v>327182.82252000005</v>
      </c>
      <c r="J7" s="141">
        <f t="shared" si="1"/>
        <v>511547.66250000003</v>
      </c>
      <c r="K7" s="126">
        <f>Baleares!R4</f>
        <v>127711.66449000001</v>
      </c>
      <c r="L7" s="126">
        <f>Baleares!U4+Baleares!V4</f>
        <v>242628.96489</v>
      </c>
      <c r="M7" s="141">
        <f t="shared" si="2"/>
        <v>455169.82499999995</v>
      </c>
      <c r="N7" s="126">
        <f>Baleares!X4</f>
        <v>139827.74040000001</v>
      </c>
      <c r="P7" s="126">
        <f>Baleares!U9+Baleares!V9</f>
        <v>175686.23924</v>
      </c>
      <c r="Q7" s="141">
        <f>Baleares!W9</f>
        <v>455169.82499999995</v>
      </c>
      <c r="R7" s="126">
        <f>Baleares!X9</f>
        <v>139827.74040000001</v>
      </c>
      <c r="T7" s="99"/>
      <c r="U7" s="142"/>
      <c r="V7" s="99"/>
      <c r="W7" s="126">
        <f>Baleares!U10+Baleares!V10</f>
        <v>41253.187810000003</v>
      </c>
      <c r="X7" s="141">
        <f t="shared" si="3"/>
        <v>455169.82499999995</v>
      </c>
      <c r="Y7" s="126">
        <f>Baleares!X10</f>
        <v>110551.84245000001</v>
      </c>
      <c r="Z7" s="126"/>
      <c r="AA7" s="126"/>
      <c r="AB7" s="126"/>
      <c r="AC7" s="99"/>
      <c r="AD7" s="99"/>
      <c r="AE7" s="99"/>
      <c r="AF7" s="99"/>
    </row>
    <row r="8" spans="1:32">
      <c r="A8" s="124" t="s">
        <v>36</v>
      </c>
      <c r="B8" s="126">
        <f>Canarias!O5+Canarias!P5</f>
        <v>649511.43999999994</v>
      </c>
      <c r="C8" s="141">
        <f>Canarias!Q5</f>
        <v>1239333.6200000001</v>
      </c>
      <c r="D8" s="126">
        <f>Canarias!R5</f>
        <v>284464.62</v>
      </c>
      <c r="E8" s="126">
        <f>Canarias!U5+Canarias!V5</f>
        <v>379851.57</v>
      </c>
      <c r="F8" s="141">
        <f t="shared" si="0"/>
        <v>1242021.58</v>
      </c>
      <c r="G8" s="126">
        <f>Canarias!X5</f>
        <v>255822.97000000003</v>
      </c>
      <c r="I8" s="126">
        <f>Canarias!O3+Canarias!P3</f>
        <v>451265.48</v>
      </c>
      <c r="J8" s="141">
        <f t="shared" si="1"/>
        <v>1239333.6200000001</v>
      </c>
      <c r="K8" s="126">
        <f>Canarias!R3</f>
        <v>284464.62</v>
      </c>
      <c r="L8" s="126">
        <f>Canarias!U3+Canarias!V3</f>
        <v>451204.52999999997</v>
      </c>
      <c r="M8" s="141">
        <f t="shared" si="2"/>
        <v>1242021.58</v>
      </c>
      <c r="N8" s="126">
        <f>Canarias!X3</f>
        <v>259885.12000000002</v>
      </c>
      <c r="P8" s="126">
        <f>Canarias!U8+Canarias!V8</f>
        <v>247404.15000000002</v>
      </c>
      <c r="Q8" s="141">
        <f>Canarias!W8</f>
        <v>1242021.58</v>
      </c>
      <c r="R8" s="126">
        <f>Canarias!X8</f>
        <v>187325.32</v>
      </c>
      <c r="T8" s="99"/>
      <c r="U8" s="142"/>
      <c r="V8" s="99"/>
      <c r="W8" s="126"/>
      <c r="X8" s="141">
        <f t="shared" si="3"/>
        <v>1242021.58</v>
      </c>
      <c r="Y8" s="126"/>
      <c r="Z8" s="126"/>
      <c r="AA8" s="126"/>
      <c r="AB8" s="126"/>
      <c r="AC8" s="99"/>
      <c r="AD8" s="99"/>
      <c r="AE8" s="99"/>
      <c r="AF8" s="99"/>
    </row>
    <row r="9" spans="1:32">
      <c r="A9" s="124" t="s">
        <v>50</v>
      </c>
      <c r="B9" s="126">
        <f>Cantabria!N3+Cantabria!O3</f>
        <v>342685.56</v>
      </c>
      <c r="C9" s="141">
        <f>Cantabria!P3</f>
        <v>312450.05000000005</v>
      </c>
      <c r="E9" s="126">
        <f>Cantabria!S3+Cantabria!T3</f>
        <v>231095.48</v>
      </c>
      <c r="F9" s="141">
        <f t="shared" si="0"/>
        <v>323811.87</v>
      </c>
      <c r="I9" s="126">
        <f>Cantabria!N4+Cantabria!O4</f>
        <v>209800.91999999998</v>
      </c>
      <c r="J9" s="141">
        <f t="shared" si="1"/>
        <v>312450.05000000005</v>
      </c>
      <c r="M9" s="141">
        <f t="shared" si="2"/>
        <v>323811.87</v>
      </c>
      <c r="P9" s="126">
        <f>Cantabria!S6+Cantabria!T6</f>
        <v>56916.72</v>
      </c>
      <c r="Q9" s="141">
        <f>Cantabria!U6</f>
        <v>323811.87</v>
      </c>
      <c r="T9" s="99"/>
      <c r="U9" s="142"/>
      <c r="V9" s="99"/>
      <c r="W9" s="126">
        <f>Cantabria!S7+Cantabria!T7</f>
        <v>40797.100000000006</v>
      </c>
      <c r="X9" s="141">
        <f t="shared" si="3"/>
        <v>323811.87</v>
      </c>
      <c r="Y9" s="126"/>
      <c r="Z9" s="126"/>
      <c r="AA9" s="126"/>
      <c r="AB9" s="126"/>
      <c r="AC9" s="99"/>
      <c r="AD9" s="99"/>
      <c r="AE9" s="99"/>
      <c r="AF9" s="99"/>
    </row>
    <row r="10" spans="1:32">
      <c r="A10" s="124" t="s">
        <v>227</v>
      </c>
      <c r="B10" s="126">
        <f>'Castilla La Mancha'!O3+'Castilla La Mancha'!P3</f>
        <v>659236.64999999991</v>
      </c>
      <c r="C10" s="141">
        <f>'Castilla La Mancha'!Q3</f>
        <v>976947.16999999993</v>
      </c>
      <c r="D10" s="126">
        <f>'Castilla La Mancha'!R3</f>
        <v>266328.97000000003</v>
      </c>
      <c r="E10" s="126">
        <f>'Castilla La Mancha'!U3+'Castilla La Mancha'!V3</f>
        <v>448543.31999999995</v>
      </c>
      <c r="F10" s="141">
        <f t="shared" si="0"/>
        <v>976947.16999999993</v>
      </c>
      <c r="G10" s="126">
        <f>'Castilla La Mancha'!X3</f>
        <v>263380.83</v>
      </c>
      <c r="I10" s="126">
        <f>'Castilla La Mancha'!O4+'Castilla La Mancha'!P4</f>
        <v>613296.48</v>
      </c>
      <c r="J10" s="141">
        <f t="shared" si="1"/>
        <v>976947.16999999993</v>
      </c>
      <c r="K10" s="126">
        <f>'Castilla La Mancha'!R4</f>
        <v>266328.97000000003</v>
      </c>
      <c r="L10" s="126">
        <f>'Castilla La Mancha'!U4+'Castilla La Mancha'!V4</f>
        <v>414081.17999999993</v>
      </c>
      <c r="M10" s="141">
        <f t="shared" si="2"/>
        <v>976947.16999999993</v>
      </c>
      <c r="N10" s="126">
        <f>'Castilla La Mancha'!X4</f>
        <v>263380.83</v>
      </c>
      <c r="P10" s="126">
        <f>'Castilla La Mancha'!U5+'Castilla La Mancha'!V5</f>
        <v>101604.51</v>
      </c>
      <c r="Q10" s="141">
        <f>'Castilla La Mancha'!W5</f>
        <v>976947.16999999993</v>
      </c>
      <c r="R10" s="126">
        <f>'Castilla La Mancha'!X5</f>
        <v>194724.12000000002</v>
      </c>
      <c r="T10" s="99"/>
      <c r="U10" s="142"/>
      <c r="V10" s="99"/>
      <c r="W10" s="126"/>
      <c r="X10" s="141">
        <f t="shared" si="3"/>
        <v>976947.16999999993</v>
      </c>
      <c r="Y10" s="126"/>
      <c r="Z10" s="126"/>
      <c r="AA10" s="126"/>
      <c r="AB10" s="126"/>
      <c r="AC10" s="99"/>
      <c r="AD10" s="99"/>
      <c r="AE10" s="99"/>
      <c r="AF10" s="99"/>
    </row>
    <row r="11" spans="1:32">
      <c r="A11" s="124" t="s">
        <v>228</v>
      </c>
      <c r="B11" s="126">
        <f>'Castilla y León'!O3+'Castilla y León'!P3</f>
        <v>836698.65999999992</v>
      </c>
      <c r="C11" s="141">
        <f>'Castilla y León'!Q3</f>
        <v>972615.7</v>
      </c>
      <c r="D11" s="126">
        <f>'Castilla y León'!R3</f>
        <v>411613.15</v>
      </c>
      <c r="E11" s="126">
        <f>'Castilla y León'!U3+'Castilla y León'!V3</f>
        <v>633016.44000000006</v>
      </c>
      <c r="F11" s="141">
        <f t="shared" si="0"/>
        <v>948020.2</v>
      </c>
      <c r="G11" s="126">
        <f>'Castilla y León'!X3</f>
        <v>380546.82</v>
      </c>
      <c r="I11" s="126">
        <f>'Castilla y León'!O4+'Castilla y León'!P4</f>
        <v>466273.78</v>
      </c>
      <c r="J11" s="141">
        <f t="shared" si="1"/>
        <v>972615.7</v>
      </c>
      <c r="K11" s="126">
        <f>'Castilla y León'!R4</f>
        <v>411613.15</v>
      </c>
      <c r="L11" s="126">
        <f>'Castilla y León'!U4+'Castilla y León'!V4</f>
        <v>395563.30000000005</v>
      </c>
      <c r="M11" s="141">
        <f t="shared" si="2"/>
        <v>948020.2</v>
      </c>
      <c r="N11" s="126">
        <f>'Castilla y León'!X4</f>
        <v>380546.82</v>
      </c>
      <c r="P11" s="126">
        <f>'Castilla y León'!U7+'Castilla y León'!V7</f>
        <v>167511</v>
      </c>
      <c r="Q11" s="141">
        <f>'Castilla y León'!W7</f>
        <v>948020.2</v>
      </c>
      <c r="R11" s="126">
        <f>'Castilla y León'!X7</f>
        <v>352591.55</v>
      </c>
      <c r="T11" s="99"/>
      <c r="U11" s="142"/>
      <c r="V11" s="99"/>
      <c r="W11" s="126">
        <f>'Castilla y León'!U8+'Castilla y León'!V8</f>
        <v>106598.5</v>
      </c>
      <c r="X11" s="141">
        <f t="shared" si="3"/>
        <v>948020.2</v>
      </c>
      <c r="Y11" s="126">
        <f>'Castilla y León'!X8</f>
        <v>315161.74</v>
      </c>
      <c r="Z11" s="126"/>
      <c r="AA11" s="126"/>
      <c r="AB11" s="126"/>
      <c r="AC11" s="99"/>
      <c r="AD11" s="99"/>
      <c r="AE11" s="99"/>
      <c r="AF11" s="99"/>
    </row>
    <row r="12" spans="1:32">
      <c r="A12" s="124" t="s">
        <v>60</v>
      </c>
      <c r="B12" s="126">
        <f>Extremadura!N4+Extremadura!O4</f>
        <v>633276.63</v>
      </c>
      <c r="C12" s="141">
        <f>Extremadura!P4</f>
        <v>575754.4</v>
      </c>
      <c r="E12" s="126">
        <f>Extremadura!S4+Extremadura!T4</f>
        <v>534921.66</v>
      </c>
      <c r="F12" s="141">
        <f t="shared" si="0"/>
        <v>575754.4</v>
      </c>
      <c r="I12" s="126">
        <f>Extremadura!N3+Extremadura!O3</f>
        <v>594448.35</v>
      </c>
      <c r="J12" s="141">
        <f t="shared" si="1"/>
        <v>575754.4</v>
      </c>
      <c r="M12" s="141">
        <f t="shared" si="2"/>
        <v>575754.4</v>
      </c>
      <c r="P12" s="126">
        <f>Extremadura!S6+Extremadura!T6</f>
        <v>114822.15000000001</v>
      </c>
      <c r="Q12" s="141">
        <f>Extremadura!U6</f>
        <v>575754.4</v>
      </c>
      <c r="T12" s="99"/>
      <c r="U12" s="142"/>
      <c r="V12" s="99"/>
      <c r="W12" s="126">
        <f>Extremadura!S7+Extremadura!T7</f>
        <v>30168.9</v>
      </c>
      <c r="X12" s="141">
        <f t="shared" si="3"/>
        <v>575754.4</v>
      </c>
      <c r="Y12" s="126"/>
      <c r="Z12" s="126"/>
      <c r="AA12" s="126"/>
      <c r="AB12" s="126"/>
      <c r="AC12" s="99"/>
      <c r="AD12" s="99"/>
      <c r="AE12" s="99"/>
      <c r="AF12" s="99"/>
    </row>
    <row r="13" spans="1:32">
      <c r="A13" s="124" t="s">
        <v>65</v>
      </c>
      <c r="B13" s="126">
        <f>'La Rioja'!O3+'La Rioja'!P3</f>
        <v>297915.40000000002</v>
      </c>
      <c r="C13" s="141">
        <f>'La Rioja'!Q3</f>
        <v>187000.69999999998</v>
      </c>
      <c r="D13" s="126">
        <f>'La Rioja'!R3</f>
        <v>53241.54</v>
      </c>
      <c r="E13" s="126">
        <f>'La Rioja'!U3+'La Rioja'!V3</f>
        <v>232431.71000000002</v>
      </c>
      <c r="F13" s="141">
        <f t="shared" si="0"/>
        <v>194591.22</v>
      </c>
      <c r="G13" s="126">
        <f>'La Rioja'!X3</f>
        <v>53705.46</v>
      </c>
      <c r="I13" s="126">
        <f>'La Rioja'!O4+'La Rioja'!P4</f>
        <v>166390.29</v>
      </c>
      <c r="J13" s="141">
        <f t="shared" si="1"/>
        <v>187000.69999999998</v>
      </c>
      <c r="K13" s="126">
        <f>'La Rioja'!R4</f>
        <v>53241.54</v>
      </c>
      <c r="L13" s="126">
        <f>'La Rioja'!U4+'La Rioja'!V4</f>
        <v>156516.02000000002</v>
      </c>
      <c r="M13" s="141">
        <f t="shared" si="2"/>
        <v>194591.22</v>
      </c>
      <c r="N13" s="126">
        <f>'La Rioja'!X4</f>
        <v>53705.46</v>
      </c>
      <c r="P13" s="126">
        <f>'La Rioja'!U6+'La Rioja'!V6</f>
        <v>63419.320000000007</v>
      </c>
      <c r="Q13" s="141">
        <f>'La Rioja'!W6</f>
        <v>194591.22</v>
      </c>
      <c r="R13" s="126">
        <f>'La Rioja'!X6</f>
        <v>53705.46</v>
      </c>
      <c r="T13" s="99"/>
      <c r="U13" s="142"/>
      <c r="V13" s="99"/>
      <c r="W13" s="126">
        <f>'La Rioja'!U7+'La Rioja'!V7</f>
        <v>62352.12</v>
      </c>
      <c r="X13" s="141">
        <f t="shared" si="3"/>
        <v>194591.22</v>
      </c>
      <c r="Y13" s="126">
        <f>'La Rioja'!X7</f>
        <v>53705.46</v>
      </c>
      <c r="Z13" s="126"/>
      <c r="AA13" s="126"/>
      <c r="AB13" s="126"/>
      <c r="AC13" s="99"/>
      <c r="AD13" s="99"/>
      <c r="AE13" s="99"/>
      <c r="AF13" s="99"/>
    </row>
    <row r="14" spans="1:32">
      <c r="A14" s="124" t="s">
        <v>67</v>
      </c>
      <c r="B14" s="126">
        <f>Murcia!O3+Murcia!P3</f>
        <v>584961.17999999993</v>
      </c>
      <c r="C14" s="141">
        <f>Murcia!Q3</f>
        <v>628650.97</v>
      </c>
      <c r="D14" s="126">
        <f>Murcia!R3</f>
        <v>239167.19999999998</v>
      </c>
      <c r="E14" s="126">
        <f>Murcia!U3+Murcia!V3</f>
        <v>386422.95999999996</v>
      </c>
      <c r="F14" s="141">
        <f t="shared" si="0"/>
        <v>645399.92000000004</v>
      </c>
      <c r="G14" s="126">
        <f>Murcia!X3</f>
        <v>240125.52</v>
      </c>
      <c r="I14" s="126">
        <f>Murcia!O4+Murcia!P4</f>
        <v>210879.99</v>
      </c>
      <c r="J14" s="141">
        <f t="shared" si="1"/>
        <v>628650.97</v>
      </c>
      <c r="K14" s="126">
        <f>Murcia!R4</f>
        <v>239167.19999999998</v>
      </c>
      <c r="L14" s="126">
        <f>Murcia!U4+Murcia!V4</f>
        <v>235291.03999999998</v>
      </c>
      <c r="M14" s="141">
        <f t="shared" si="2"/>
        <v>645399.92000000004</v>
      </c>
      <c r="N14" s="126">
        <f>Murcia!X4</f>
        <v>240125.52</v>
      </c>
      <c r="P14" s="126">
        <f>Navarra!U10+Navarra!V10</f>
        <v>126505.60000000001</v>
      </c>
      <c r="Q14" s="141">
        <f>Murcia!W6</f>
        <v>645399.92000000004</v>
      </c>
      <c r="R14" s="126">
        <f>Murcia!X6</f>
        <v>240125.52</v>
      </c>
      <c r="T14" s="99"/>
      <c r="U14" s="142"/>
      <c r="V14" s="99"/>
      <c r="W14" s="126">
        <f>Murcia!U7+Murcia!V7</f>
        <v>91537.07</v>
      </c>
      <c r="X14" s="141">
        <f t="shared" si="3"/>
        <v>645399.92000000004</v>
      </c>
      <c r="Y14" s="126">
        <f>Murcia!X7</f>
        <v>240125.52</v>
      </c>
      <c r="Z14" s="126"/>
      <c r="AA14" s="126"/>
      <c r="AB14" s="126"/>
      <c r="AC14" s="99"/>
      <c r="AD14" s="99"/>
      <c r="AE14" s="99"/>
      <c r="AF14" s="99"/>
    </row>
    <row r="15" spans="1:32">
      <c r="A15" s="124" t="s">
        <v>75</v>
      </c>
      <c r="B15" s="126">
        <f>Navarra!O7+Navarra!P7</f>
        <v>67554.92</v>
      </c>
      <c r="C15" s="141">
        <f>Navarra!Q7</f>
        <v>389697</v>
      </c>
      <c r="D15" s="126">
        <f>Navarra!R7</f>
        <v>111638.78</v>
      </c>
      <c r="E15" s="126">
        <f>Navarra!U7+Navarra!V7</f>
        <v>36126</v>
      </c>
      <c r="F15" s="141">
        <f t="shared" si="0"/>
        <v>405003</v>
      </c>
      <c r="G15" s="126">
        <f>Navarra!X7</f>
        <v>114742.56</v>
      </c>
      <c r="I15" s="126">
        <f>Navarra!O4+Navarra!P4</f>
        <v>150386.96</v>
      </c>
      <c r="J15" s="141">
        <f t="shared" si="1"/>
        <v>389697</v>
      </c>
      <c r="K15" s="126">
        <f>Navarra!R4</f>
        <v>111638.78</v>
      </c>
      <c r="L15" s="126">
        <f>Navarra!U4+Navarra!V4</f>
        <v>125620.2</v>
      </c>
      <c r="M15" s="141">
        <f t="shared" si="2"/>
        <v>405003</v>
      </c>
      <c r="N15" s="126">
        <f>Navarra!X4</f>
        <v>114742.56</v>
      </c>
      <c r="P15" s="126">
        <f>Navarra!U10+Navarra!V10</f>
        <v>126505.60000000001</v>
      </c>
      <c r="Q15" s="141">
        <f>Navarra!W10</f>
        <v>405003</v>
      </c>
      <c r="R15" s="126">
        <f>Navarra!X10</f>
        <v>114742.56</v>
      </c>
      <c r="T15" s="99"/>
      <c r="U15" s="142"/>
      <c r="V15" s="99"/>
      <c r="W15" s="126"/>
      <c r="X15" s="141">
        <f t="shared" si="3"/>
        <v>405003</v>
      </c>
      <c r="Y15" s="126"/>
      <c r="Z15" s="126"/>
      <c r="AA15" s="126"/>
      <c r="AB15" s="126"/>
      <c r="AC15" s="99"/>
      <c r="AD15" s="99"/>
      <c r="AE15" s="99"/>
      <c r="AF15" s="99"/>
    </row>
    <row r="16" spans="1:32">
      <c r="A16" s="124" t="s">
        <v>70</v>
      </c>
      <c r="B16" s="126">
        <f>Valencia!N3+Valencia!O3</f>
        <v>1478357.6300000001</v>
      </c>
      <c r="C16" s="141">
        <f>Valencia!P3</f>
        <v>1329043.56</v>
      </c>
      <c r="E16" s="126">
        <f>Valencia!S3+Valencia!T3</f>
        <v>814414.03</v>
      </c>
      <c r="F16" s="141">
        <f t="shared" si="0"/>
        <v>1301259.44</v>
      </c>
      <c r="I16" s="126">
        <f>Valencia!N4+Valencia!O4</f>
        <v>861717.81</v>
      </c>
      <c r="J16" s="141">
        <f t="shared" si="1"/>
        <v>1329043.56</v>
      </c>
      <c r="L16" s="126">
        <f>Valencia!S4+Valencia!T4</f>
        <v>617403.71</v>
      </c>
      <c r="M16" s="141">
        <f t="shared" si="2"/>
        <v>1301259.44</v>
      </c>
      <c r="P16" s="126">
        <f>Valencia!S8+Valencia!T8</f>
        <v>345163.21</v>
      </c>
      <c r="Q16" s="141">
        <f>Valencia!U8</f>
        <v>1301259.44</v>
      </c>
      <c r="T16" s="99"/>
      <c r="U16" s="142"/>
      <c r="V16" s="99"/>
      <c r="W16" s="126">
        <f>Valencia!S9+Valencia!T9</f>
        <v>362315.21</v>
      </c>
      <c r="X16" s="141">
        <f t="shared" si="3"/>
        <v>1301259.44</v>
      </c>
      <c r="Y16" s="126"/>
      <c r="Z16" s="126"/>
      <c r="AA16" s="126"/>
      <c r="AB16" s="126"/>
      <c r="AC16" s="99"/>
      <c r="AD16" s="99"/>
      <c r="AE16" s="99"/>
      <c r="AF16" s="99"/>
    </row>
    <row r="17" spans="1:32">
      <c r="T17" s="99"/>
      <c r="U17" s="99"/>
      <c r="V17" s="99"/>
      <c r="W17" s="126"/>
      <c r="X17" s="126"/>
      <c r="Y17" s="126"/>
      <c r="Z17" s="126"/>
      <c r="AA17" s="126"/>
      <c r="AB17" s="126"/>
      <c r="AC17" s="99"/>
      <c r="AD17" s="99"/>
      <c r="AE17" s="99"/>
      <c r="AF17" s="99"/>
    </row>
    <row r="18" spans="1:32">
      <c r="A18" s="124" t="s">
        <v>245</v>
      </c>
      <c r="B18" s="126">
        <f t="shared" ref="B18:G18" si="4">SUM(B4:B16)</f>
        <v>9945505.7463900018</v>
      </c>
      <c r="C18" s="141">
        <f t="shared" si="4"/>
        <v>11810712.8825</v>
      </c>
      <c r="D18" s="126">
        <f t="shared" si="4"/>
        <v>1686106.1451400002</v>
      </c>
      <c r="E18" s="126">
        <f t="shared" si="4"/>
        <v>6778162.2060819995</v>
      </c>
      <c r="F18" s="141">
        <f t="shared" si="4"/>
        <v>11895772.276000001</v>
      </c>
      <c r="G18" s="126">
        <f t="shared" si="4"/>
        <v>1636059.0504000003</v>
      </c>
      <c r="I18" s="126">
        <f t="shared" ref="I18:N18" si="5">SUM(I4:I16)</f>
        <v>6367885.0525199994</v>
      </c>
      <c r="J18" s="141">
        <f t="shared" si="5"/>
        <v>11810712.8825</v>
      </c>
      <c r="K18" s="126">
        <f t="shared" si="5"/>
        <v>1687209.9144899999</v>
      </c>
      <c r="L18" s="126">
        <f t="shared" si="5"/>
        <v>4890472.3407539995</v>
      </c>
      <c r="M18" s="141">
        <f t="shared" si="5"/>
        <v>11895772.276000001</v>
      </c>
      <c r="N18" s="126">
        <f t="shared" si="5"/>
        <v>1640121.2004000002</v>
      </c>
      <c r="P18" s="126">
        <f>SUM(P4:P16)</f>
        <v>3185466.664198</v>
      </c>
      <c r="Q18" s="141">
        <f>SUM(Q4:Q16)</f>
        <v>11895772.276000001</v>
      </c>
      <c r="R18" s="126">
        <f>SUM(R4:R16)</f>
        <v>1470949.4204000002</v>
      </c>
      <c r="T18" s="126"/>
      <c r="U18" s="141"/>
      <c r="V18" s="126"/>
      <c r="W18" s="126">
        <f>SUM(W4:W16)</f>
        <v>1652546.689118</v>
      </c>
      <c r="X18" s="141">
        <f>SUM(X4:X16)</f>
        <v>11895772.276000001</v>
      </c>
      <c r="Y18" s="126">
        <f>SUM(Y4:Y16)</f>
        <v>907451.71244999999</v>
      </c>
      <c r="Z18" s="126"/>
      <c r="AA18" s="126">
        <f>SUM(AA4:AA16)</f>
        <v>350794.99</v>
      </c>
      <c r="AB18" s="141"/>
      <c r="AC18" s="126">
        <f>SUM(AC4:AC16)</f>
        <v>0</v>
      </c>
      <c r="AD18" s="126">
        <f>SUM(AD4:AD16)</f>
        <v>0</v>
      </c>
      <c r="AE18" s="141"/>
      <c r="AF18" s="126">
        <f>SUM(AF4:AF16)</f>
        <v>0</v>
      </c>
    </row>
    <row r="19" spans="1:32">
      <c r="A19" s="124" t="s">
        <v>246</v>
      </c>
      <c r="B19" s="126">
        <v>11160300.41</v>
      </c>
      <c r="C19" s="141">
        <v>11160300.41</v>
      </c>
      <c r="D19" s="126">
        <v>7298852.4400000004</v>
      </c>
      <c r="E19" s="126">
        <v>9382467.7799999993</v>
      </c>
      <c r="F19" s="141"/>
      <c r="G19" s="126">
        <v>7303758.2199999997</v>
      </c>
      <c r="I19" s="126">
        <v>9463937.8100000005</v>
      </c>
      <c r="J19" s="141">
        <v>11454596.789999999</v>
      </c>
      <c r="K19" s="126">
        <v>7448409.0999999996</v>
      </c>
      <c r="L19" s="126">
        <v>8637067.4399999995</v>
      </c>
      <c r="M19" s="141"/>
      <c r="N19" s="126">
        <v>7538823.3799999999</v>
      </c>
      <c r="Q19" s="141"/>
      <c r="T19" s="126">
        <v>3804.12</v>
      </c>
      <c r="U19" s="148"/>
      <c r="W19" s="126">
        <v>1167970.68</v>
      </c>
      <c r="X19" s="141"/>
      <c r="Y19" s="126">
        <v>3784098.12</v>
      </c>
      <c r="Z19" s="126"/>
      <c r="AA19" s="126">
        <v>188417.37</v>
      </c>
      <c r="AB19" s="141">
        <v>2460242.2000000002</v>
      </c>
      <c r="AC19" s="126">
        <v>836408.1</v>
      </c>
      <c r="AD19" s="126">
        <v>54434.7</v>
      </c>
      <c r="AE19" s="141"/>
      <c r="AF19" s="126">
        <v>26892.14</v>
      </c>
    </row>
    <row r="20" spans="1:32">
      <c r="A20" s="124" t="s">
        <v>265</v>
      </c>
      <c r="C20" s="141">
        <v>19176124.260000002</v>
      </c>
      <c r="F20" s="141"/>
      <c r="J20" s="141"/>
      <c r="M20" s="141"/>
      <c r="Q20" s="141"/>
      <c r="T20" s="126"/>
      <c r="U20" s="148"/>
      <c r="W20" s="126"/>
      <c r="X20" s="141"/>
      <c r="Y20" s="126"/>
      <c r="Z20" s="126"/>
      <c r="AA20" s="126"/>
      <c r="AB20" s="141"/>
      <c r="AC20" s="126"/>
      <c r="AD20" s="126"/>
      <c r="AE20" s="141"/>
      <c r="AF20" s="126"/>
    </row>
    <row r="21" spans="1:32">
      <c r="A21" s="124" t="s">
        <v>6</v>
      </c>
      <c r="B21" s="126">
        <f>SUM(B18+B19)</f>
        <v>21105806.156390004</v>
      </c>
      <c r="D21" s="126">
        <f t="shared" ref="D21:AF21" si="6">SUM(D18:D19)</f>
        <v>8984958.585140001</v>
      </c>
      <c r="E21" s="126">
        <f t="shared" si="6"/>
        <v>16160629.986081999</v>
      </c>
      <c r="G21" s="126">
        <f t="shared" si="6"/>
        <v>8939817.2704000007</v>
      </c>
      <c r="H21" s="126"/>
      <c r="I21" s="126">
        <f>SUM(I18+I19)</f>
        <v>15831822.86252</v>
      </c>
      <c r="K21" s="126">
        <f t="shared" si="6"/>
        <v>9135619.014489999</v>
      </c>
      <c r="L21" s="126">
        <f t="shared" si="6"/>
        <v>13527539.780754</v>
      </c>
      <c r="N21" s="126">
        <f t="shared" si="6"/>
        <v>9178944.5803999994</v>
      </c>
      <c r="O21" s="126"/>
      <c r="P21" s="126">
        <f t="shared" si="6"/>
        <v>3185466.664198</v>
      </c>
      <c r="R21" s="126">
        <f t="shared" si="6"/>
        <v>1470949.4204000002</v>
      </c>
      <c r="S21" s="126"/>
      <c r="T21" s="126">
        <f t="shared" si="6"/>
        <v>3804.12</v>
      </c>
      <c r="U21" s="126"/>
      <c r="V21" s="126"/>
      <c r="W21" s="126">
        <f t="shared" si="6"/>
        <v>2820517.3691179999</v>
      </c>
      <c r="X21" s="126"/>
      <c r="Y21" s="126">
        <f t="shared" si="6"/>
        <v>4691549.8324500006</v>
      </c>
      <c r="Z21" s="126"/>
      <c r="AA21" s="126">
        <f t="shared" si="6"/>
        <v>539212.36</v>
      </c>
      <c r="AB21" s="126"/>
      <c r="AC21" s="126">
        <f t="shared" si="6"/>
        <v>836408.1</v>
      </c>
      <c r="AD21" s="126">
        <f t="shared" si="6"/>
        <v>54434.7</v>
      </c>
      <c r="AE21" s="126"/>
      <c r="AF21" s="126">
        <f t="shared" si="6"/>
        <v>26892.14</v>
      </c>
    </row>
  </sheetData>
  <mergeCells count="14">
    <mergeCell ref="W2:Y2"/>
    <mergeCell ref="AD2:AF2"/>
    <mergeCell ref="I1:N1"/>
    <mergeCell ref="I2:K2"/>
    <mergeCell ref="L2:N2"/>
    <mergeCell ref="AA2:AC2"/>
    <mergeCell ref="AA1:AF1"/>
    <mergeCell ref="T2:V2"/>
    <mergeCell ref="T1:Y1"/>
    <mergeCell ref="B2:D2"/>
    <mergeCell ref="E2:G2"/>
    <mergeCell ref="B1:G1"/>
    <mergeCell ref="P1:R1"/>
    <mergeCell ref="P2:R2"/>
  </mergeCells>
  <phoneticPr fontId="22" type="noConversion"/>
  <pageMargins left="0.75000000000000011" right="0.75000000000000011" top="1" bottom="1" header="0.5" footer="0.5"/>
  <pageSetup paperSize="9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"/>
  <sheetViews>
    <sheetView workbookViewId="0">
      <pane xSplit="7" ySplit="2" topLeftCell="K3" activePane="bottomRight" state="frozen"/>
      <selection pane="topRight" activeCell="H1" sqref="H1"/>
      <selection pane="bottomLeft" activeCell="A3" sqref="A3"/>
      <selection pane="bottomRight" activeCell="Q21" sqref="Q21"/>
    </sheetView>
  </sheetViews>
  <sheetFormatPr baseColWidth="10" defaultRowHeight="15" x14ac:dyDescent="0"/>
  <cols>
    <col min="1" max="1" width="14" bestFit="1" customWidth="1"/>
    <col min="13" max="13" width="3.33203125" style="124" customWidth="1"/>
    <col min="18" max="18" width="3.33203125" style="124" customWidth="1"/>
    <col min="23" max="23" width="3.33203125" style="124" customWidth="1"/>
  </cols>
  <sheetData>
    <row r="1" spans="1:23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92"/>
      <c r="N1" s="152">
        <v>2011</v>
      </c>
      <c r="O1" s="152"/>
      <c r="P1" s="153"/>
      <c r="Q1" s="153"/>
      <c r="R1" s="92"/>
      <c r="S1" s="152">
        <v>2015</v>
      </c>
      <c r="T1" s="152"/>
      <c r="U1" s="153"/>
      <c r="V1" s="153"/>
      <c r="W1" s="92"/>
    </row>
    <row r="2" spans="1:23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6</v>
      </c>
      <c r="M2" s="92"/>
      <c r="N2" s="92" t="s">
        <v>88</v>
      </c>
      <c r="O2" s="92" t="s">
        <v>89</v>
      </c>
      <c r="P2" s="92" t="s">
        <v>3</v>
      </c>
      <c r="Q2" s="92" t="s">
        <v>6</v>
      </c>
      <c r="R2" s="92"/>
      <c r="S2" s="92" t="s">
        <v>88</v>
      </c>
      <c r="T2" s="92" t="s">
        <v>89</v>
      </c>
      <c r="U2" s="92" t="s">
        <v>3</v>
      </c>
      <c r="V2" s="92" t="s">
        <v>6</v>
      </c>
      <c r="W2" s="92"/>
    </row>
    <row r="3" spans="1:23">
      <c r="A3" t="s">
        <v>91</v>
      </c>
      <c r="B3" s="94">
        <v>352342</v>
      </c>
      <c r="C3" s="94">
        <v>38</v>
      </c>
      <c r="D3" s="94">
        <v>290045</v>
      </c>
      <c r="E3" s="94">
        <v>30</v>
      </c>
      <c r="F3" s="94">
        <v>264364</v>
      </c>
      <c r="G3" s="94">
        <v>30</v>
      </c>
      <c r="H3" s="94"/>
      <c r="I3" s="126">
        <f>B3*0.52</f>
        <v>183217.84</v>
      </c>
      <c r="J3" s="126">
        <f>C3*13035.95</f>
        <v>495366.10000000003</v>
      </c>
      <c r="K3" s="129">
        <f>0.52*Padron!$K$15</f>
        <v>564913.96</v>
      </c>
      <c r="L3" s="127">
        <f>MIN(I3+J3,K3)</f>
        <v>564913.96</v>
      </c>
      <c r="M3" s="127"/>
      <c r="N3" s="126">
        <f>0.57*D3</f>
        <v>165325.65</v>
      </c>
      <c r="O3" s="126">
        <f>14304.09*E3</f>
        <v>429122.7</v>
      </c>
      <c r="P3" s="129">
        <f>0.52*Padron!$G$15</f>
        <v>575754.4</v>
      </c>
      <c r="Q3" s="127">
        <f>MIN(N3+O3,P3)</f>
        <v>575754.4</v>
      </c>
      <c r="R3" s="127"/>
      <c r="S3" s="126">
        <f>0.57*F3</f>
        <v>150687.47999999998</v>
      </c>
      <c r="T3" s="126">
        <f>G3*14304.09</f>
        <v>429122.7</v>
      </c>
      <c r="U3" s="129">
        <f>0.52*Padron!$G$15</f>
        <v>575754.4</v>
      </c>
      <c r="V3" s="127">
        <f>MIN(S3+T3,U3)</f>
        <v>575754.4</v>
      </c>
      <c r="W3" s="127"/>
    </row>
    <row r="4" spans="1:23">
      <c r="A4" t="s">
        <v>90</v>
      </c>
      <c r="B4" s="94">
        <v>257392</v>
      </c>
      <c r="C4" s="94">
        <v>27</v>
      </c>
      <c r="D4" s="94">
        <v>307975</v>
      </c>
      <c r="E4" s="94">
        <v>32</v>
      </c>
      <c r="F4" s="94">
        <v>235802</v>
      </c>
      <c r="G4" s="94">
        <v>28</v>
      </c>
      <c r="H4" s="94"/>
      <c r="I4" s="126">
        <f>B4*0.52</f>
        <v>133843.84</v>
      </c>
      <c r="J4" s="126">
        <f>C4*13035.95</f>
        <v>351970.65</v>
      </c>
      <c r="K4" s="129">
        <f>0.52*Padron!$K$15</f>
        <v>564913.96</v>
      </c>
      <c r="L4" s="127">
        <f>MIN(I4+J4,K4)</f>
        <v>485814.49</v>
      </c>
      <c r="M4" s="127"/>
      <c r="N4" s="126">
        <f>0.57*D4</f>
        <v>175545.74999999997</v>
      </c>
      <c r="O4" s="126">
        <f>14304.09*E4</f>
        <v>457730.88</v>
      </c>
      <c r="P4" s="129">
        <f>0.52*Padron!$G$15</f>
        <v>575754.4</v>
      </c>
      <c r="Q4" s="127">
        <f>MIN(N4+O4,P4)</f>
        <v>575754.4</v>
      </c>
      <c r="R4" s="127"/>
      <c r="S4" s="126">
        <f>0.57*F4</f>
        <v>134407.13999999998</v>
      </c>
      <c r="T4" s="126">
        <f>G4*14304.09</f>
        <v>400514.52</v>
      </c>
      <c r="U4" s="129">
        <f>0.52*Padron!$G$15</f>
        <v>575754.4</v>
      </c>
      <c r="V4" s="127">
        <f>MIN(S4+T4,U4)</f>
        <v>534921.66</v>
      </c>
      <c r="W4" s="127"/>
    </row>
    <row r="5" spans="1:23">
      <c r="A5" t="s">
        <v>132</v>
      </c>
      <c r="B5" s="94"/>
      <c r="C5" s="94"/>
      <c r="D5" s="94">
        <v>38157</v>
      </c>
      <c r="E5" s="94">
        <v>3</v>
      </c>
      <c r="F5" s="94"/>
      <c r="G5" s="94"/>
      <c r="H5" s="94"/>
      <c r="I5" s="126"/>
      <c r="J5" s="126"/>
      <c r="K5" s="126"/>
      <c r="L5" s="126"/>
      <c r="M5" s="127"/>
      <c r="N5" s="126">
        <f>0.57*D5</f>
        <v>21749.489999999998</v>
      </c>
      <c r="O5" s="126">
        <f>14304.09*E5</f>
        <v>42912.270000000004</v>
      </c>
      <c r="P5" s="129">
        <f>0.52*Padron!$G$15</f>
        <v>575754.4</v>
      </c>
      <c r="Q5" s="127">
        <f>MIN(N5+O5,P5)</f>
        <v>64661.760000000002</v>
      </c>
      <c r="R5" s="127"/>
      <c r="S5" s="126"/>
      <c r="T5" s="126"/>
      <c r="U5" s="129"/>
      <c r="V5" s="127"/>
      <c r="W5" s="127"/>
    </row>
    <row r="6" spans="1:23">
      <c r="A6" t="s">
        <v>229</v>
      </c>
      <c r="B6" s="94"/>
      <c r="C6" s="94"/>
      <c r="D6" s="94"/>
      <c r="E6" s="94"/>
      <c r="F6" s="94">
        <v>50873</v>
      </c>
      <c r="G6" s="94">
        <v>6</v>
      </c>
      <c r="H6" s="94"/>
      <c r="I6" s="126"/>
      <c r="J6" s="126"/>
      <c r="K6" s="126"/>
      <c r="L6" s="126"/>
      <c r="M6" s="127"/>
      <c r="N6" s="126"/>
      <c r="O6" s="126"/>
      <c r="P6" s="129"/>
      <c r="Q6" s="127"/>
      <c r="R6" s="127"/>
      <c r="S6" s="126">
        <f t="shared" ref="S6:S7" si="0">0.57*F6</f>
        <v>28997.609999999997</v>
      </c>
      <c r="T6" s="126">
        <f t="shared" ref="T6:T7" si="1">G6*14304.09</f>
        <v>85824.540000000008</v>
      </c>
      <c r="U6" s="129">
        <f>0.52*Padron!$G$15</f>
        <v>575754.4</v>
      </c>
      <c r="V6" s="127">
        <f t="shared" ref="V6:V7" si="2">MIN(S6+T6,U6)</f>
        <v>114822.15000000001</v>
      </c>
      <c r="W6" s="127"/>
    </row>
    <row r="7" spans="1:23">
      <c r="A7" t="s">
        <v>230</v>
      </c>
      <c r="B7" s="94"/>
      <c r="C7" s="94"/>
      <c r="D7" s="94"/>
      <c r="E7" s="94"/>
      <c r="F7" s="94">
        <v>27833</v>
      </c>
      <c r="G7" s="94">
        <v>1</v>
      </c>
      <c r="H7" s="94"/>
      <c r="I7" s="126"/>
      <c r="J7" s="126"/>
      <c r="K7" s="126"/>
      <c r="L7" s="126"/>
      <c r="M7" s="127"/>
      <c r="N7" s="126"/>
      <c r="O7" s="126"/>
      <c r="P7" s="129"/>
      <c r="Q7" s="127"/>
      <c r="R7" s="127"/>
      <c r="S7" s="126">
        <f t="shared" si="0"/>
        <v>15864.81</v>
      </c>
      <c r="T7" s="126">
        <f t="shared" si="1"/>
        <v>14304.09</v>
      </c>
      <c r="U7" s="129">
        <f>0.52*Padron!$G$15</f>
        <v>575754.4</v>
      </c>
      <c r="V7" s="127">
        <f t="shared" si="2"/>
        <v>30168.9</v>
      </c>
      <c r="W7" s="127"/>
    </row>
    <row r="8" spans="1:23">
      <c r="B8" s="94"/>
      <c r="C8" s="94"/>
      <c r="D8" s="94"/>
      <c r="E8" s="94"/>
      <c r="F8" s="94"/>
      <c r="G8" s="94"/>
      <c r="H8" s="94"/>
      <c r="I8" s="126"/>
      <c r="J8" s="126"/>
      <c r="K8" s="126"/>
      <c r="L8" s="126"/>
      <c r="M8" s="127"/>
      <c r="N8" s="126"/>
      <c r="O8" s="126"/>
      <c r="P8" s="126"/>
      <c r="Q8" s="126"/>
      <c r="R8" s="127"/>
      <c r="S8" s="126"/>
      <c r="T8" s="126"/>
      <c r="U8" s="126"/>
      <c r="V8" s="126"/>
      <c r="W8" s="127"/>
    </row>
    <row r="9" spans="1:23">
      <c r="B9" s="94"/>
      <c r="C9" s="97" t="s">
        <v>143</v>
      </c>
      <c r="D9" s="94"/>
      <c r="E9" s="97" t="s">
        <v>143</v>
      </c>
      <c r="F9" s="97" t="s">
        <v>94</v>
      </c>
      <c r="G9" s="94"/>
      <c r="H9" s="94"/>
      <c r="I9" s="126"/>
      <c r="J9" s="126"/>
      <c r="K9" s="126"/>
      <c r="L9" s="126"/>
      <c r="M9" s="127"/>
      <c r="N9" s="126"/>
      <c r="O9" s="126"/>
      <c r="P9" s="126"/>
      <c r="Q9" s="126"/>
      <c r="R9" s="127"/>
      <c r="S9" s="126"/>
      <c r="T9" s="126"/>
      <c r="U9" s="126"/>
      <c r="V9" s="126"/>
      <c r="W9" s="127"/>
    </row>
    <row r="10" spans="1:23">
      <c r="B10" s="94"/>
      <c r="C10" s="94"/>
      <c r="D10" s="94"/>
      <c r="E10" s="94"/>
      <c r="F10" s="94" t="s">
        <v>239</v>
      </c>
      <c r="G10" s="94"/>
      <c r="H10" s="94"/>
      <c r="I10" s="126"/>
      <c r="J10" s="126"/>
      <c r="K10" s="126"/>
      <c r="L10" s="126"/>
      <c r="M10" s="127"/>
      <c r="N10" s="126"/>
      <c r="O10" s="126"/>
      <c r="P10" s="126"/>
      <c r="Q10" s="126"/>
      <c r="R10" s="127"/>
      <c r="S10" s="126"/>
      <c r="T10" s="126"/>
      <c r="U10" s="126"/>
      <c r="V10" s="126"/>
      <c r="W10" s="127"/>
    </row>
    <row r="11" spans="1:23">
      <c r="B11" s="94"/>
      <c r="C11" s="94"/>
      <c r="D11" s="94"/>
      <c r="E11" s="94"/>
      <c r="F11" s="94"/>
      <c r="G11" s="94"/>
      <c r="H11" s="94"/>
      <c r="M11" s="127"/>
      <c r="R11" s="127"/>
      <c r="W11" s="127"/>
    </row>
    <row r="12" spans="1:23">
      <c r="A12" t="s">
        <v>136</v>
      </c>
      <c r="B12" s="94" t="s">
        <v>196</v>
      </c>
      <c r="C12" s="94"/>
      <c r="D12" s="94"/>
      <c r="E12" s="94"/>
      <c r="F12" s="94"/>
      <c r="G12" s="94"/>
      <c r="H12" s="94"/>
    </row>
    <row r="13" spans="1:23">
      <c r="A13">
        <v>2007</v>
      </c>
      <c r="B13" s="94" t="s">
        <v>197</v>
      </c>
      <c r="C13" s="94"/>
      <c r="D13" s="94"/>
      <c r="E13" s="94"/>
      <c r="F13" s="94"/>
      <c r="G13" s="94"/>
      <c r="H13" s="94"/>
    </row>
    <row r="14" spans="1:23">
      <c r="A14">
        <v>2011</v>
      </c>
      <c r="B14" s="94" t="s">
        <v>198</v>
      </c>
      <c r="C14" s="94"/>
      <c r="D14" s="94"/>
      <c r="E14" s="94"/>
      <c r="F14" s="94"/>
      <c r="G14" s="94"/>
      <c r="H14" s="94"/>
    </row>
    <row r="15" spans="1:23">
      <c r="A15">
        <v>2015</v>
      </c>
      <c r="B15" t="s">
        <v>199</v>
      </c>
    </row>
  </sheetData>
  <mergeCells count="6">
    <mergeCell ref="S1:V1"/>
    <mergeCell ref="B1:C1"/>
    <mergeCell ref="D1:E1"/>
    <mergeCell ref="F1:G1"/>
    <mergeCell ref="I1:L1"/>
    <mergeCell ref="N1:Q1"/>
  </mergeCells>
  <hyperlinks>
    <hyperlink ref="C9" r:id="rId1"/>
    <hyperlink ref="E9" r:id="rId2"/>
    <hyperlink ref="F9" r:id="rId3"/>
  </hyperlinks>
  <pageMargins left="0.75" right="0.75" top="1" bottom="1" header="0.5" footer="0.5"/>
  <pageSetup paperSize="9" orientation="portrait" horizontalDpi="4294967292" verticalDpi="4294967292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7" ySplit="2" topLeftCell="M3" activePane="bottomRight" state="frozen"/>
      <selection pane="topRight" activeCell="H1" sqref="H1"/>
      <selection pane="bottomLeft" activeCell="A3" sqref="A3"/>
      <selection pane="bottomRight" activeCell="R7" sqref="R7"/>
    </sheetView>
  </sheetViews>
  <sheetFormatPr baseColWidth="10" defaultRowHeight="15" x14ac:dyDescent="0"/>
  <cols>
    <col min="1" max="1" width="14" bestFit="1" customWidth="1"/>
    <col min="11" max="13" width="11.83203125" bestFit="1" customWidth="1"/>
    <col min="14" max="14" width="3.33203125" style="124" customWidth="1"/>
    <col min="17" max="19" width="11.83203125" bestFit="1" customWidth="1"/>
    <col min="20" max="20" width="3.33203125" style="124" customWidth="1"/>
    <col min="23" max="25" width="11.83203125" bestFit="1" customWidth="1"/>
    <col min="26" max="26" width="3.33203125" style="124" customWidth="1"/>
  </cols>
  <sheetData>
    <row r="1" spans="1:26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92"/>
      <c r="O1" s="152">
        <v>2011</v>
      </c>
      <c r="P1" s="152"/>
      <c r="Q1" s="153"/>
      <c r="R1" s="153"/>
      <c r="S1" s="153"/>
      <c r="T1" s="92"/>
      <c r="U1" s="152">
        <v>2015</v>
      </c>
      <c r="V1" s="152"/>
      <c r="W1" s="153"/>
      <c r="X1" s="153"/>
      <c r="Y1" s="153"/>
      <c r="Z1" s="92"/>
    </row>
    <row r="2" spans="1:26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133</v>
      </c>
      <c r="M2" s="92" t="s">
        <v>6</v>
      </c>
      <c r="N2" s="92"/>
      <c r="O2" s="92" t="s">
        <v>88</v>
      </c>
      <c r="P2" s="92" t="s">
        <v>89</v>
      </c>
      <c r="Q2" s="92" t="s">
        <v>3</v>
      </c>
      <c r="R2" s="92" t="s">
        <v>133</v>
      </c>
      <c r="S2" s="92" t="s">
        <v>6</v>
      </c>
      <c r="T2" s="92"/>
      <c r="U2" s="92" t="s">
        <v>88</v>
      </c>
      <c r="V2" s="92" t="s">
        <v>89</v>
      </c>
      <c r="W2" s="92" t="s">
        <v>3</v>
      </c>
      <c r="X2" s="92" t="s">
        <v>133</v>
      </c>
      <c r="Y2" s="92" t="s">
        <v>6</v>
      </c>
      <c r="Z2" s="92"/>
    </row>
    <row r="3" spans="1:26">
      <c r="A3" t="s">
        <v>90</v>
      </c>
      <c r="B3" s="94">
        <v>84382</v>
      </c>
      <c r="C3" s="94">
        <v>17</v>
      </c>
      <c r="D3" s="94">
        <v>85975</v>
      </c>
      <c r="E3" s="94">
        <v>20</v>
      </c>
      <c r="F3" s="140">
        <v>62758</v>
      </c>
      <c r="G3" s="140">
        <v>15</v>
      </c>
      <c r="H3" s="94"/>
      <c r="I3" s="126">
        <f>B3*0.8</f>
        <v>67505.600000000006</v>
      </c>
      <c r="J3" s="126">
        <f>C3*10130.24</f>
        <v>172214.08</v>
      </c>
      <c r="K3" s="126">
        <f>Padron!$K$21*0.53</f>
        <v>162379.81</v>
      </c>
      <c r="L3" s="126">
        <f>237745*0.2</f>
        <v>47549</v>
      </c>
      <c r="M3" s="127">
        <f>MIN(K3,I3+J3)+L3</f>
        <v>209928.81</v>
      </c>
      <c r="N3" s="127"/>
      <c r="O3" s="126">
        <f>0.88*D3</f>
        <v>75658</v>
      </c>
      <c r="P3" s="126">
        <f>11112.87*E3</f>
        <v>222257.40000000002</v>
      </c>
      <c r="Q3" s="126">
        <f>0.58*Padron!$G$21</f>
        <v>187000.69999999998</v>
      </c>
      <c r="R3" s="126">
        <f>0.22*242007</f>
        <v>53241.54</v>
      </c>
      <c r="S3" s="127">
        <f>MIN(Q3,O3+P3)+R3</f>
        <v>240242.24</v>
      </c>
      <c r="T3" s="127"/>
      <c r="U3" s="126">
        <f>0.92*F3</f>
        <v>57737.36</v>
      </c>
      <c r="V3" s="126">
        <f>11646.29*G3</f>
        <v>174694.35</v>
      </c>
      <c r="W3" s="126">
        <f>0.61*Padron!$C$21</f>
        <v>194591.22</v>
      </c>
      <c r="X3" s="132">
        <f>0.23*233502</f>
        <v>53705.46</v>
      </c>
      <c r="Y3" s="127">
        <f>MIN(W3,U3+V3)+X3</f>
        <v>248296.68</v>
      </c>
      <c r="Z3" s="127"/>
    </row>
    <row r="4" spans="1:26">
      <c r="A4" t="s">
        <v>91</v>
      </c>
      <c r="B4" s="94">
        <v>69858</v>
      </c>
      <c r="C4" s="94">
        <v>14</v>
      </c>
      <c r="D4" s="94">
        <v>50169</v>
      </c>
      <c r="E4" s="94">
        <v>11</v>
      </c>
      <c r="F4" s="140">
        <v>43536</v>
      </c>
      <c r="G4" s="140">
        <v>10</v>
      </c>
      <c r="H4" s="94"/>
      <c r="I4" s="126">
        <f>B4*0.8</f>
        <v>55886.400000000001</v>
      </c>
      <c r="J4" s="126">
        <f>C4*10130.24</f>
        <v>141823.35999999999</v>
      </c>
      <c r="K4" s="126">
        <f>Padron!$K$21*0.53</f>
        <v>162379.81</v>
      </c>
      <c r="L4" s="126">
        <f>237745*0.2</f>
        <v>47549</v>
      </c>
      <c r="M4" s="127">
        <f>MIN(K4,I4+J4)+L4</f>
        <v>209928.81</v>
      </c>
      <c r="N4" s="127"/>
      <c r="O4" s="126">
        <f>0.88*D4</f>
        <v>44148.72</v>
      </c>
      <c r="P4" s="126">
        <f>11112.87*E4</f>
        <v>122241.57</v>
      </c>
      <c r="Q4" s="126">
        <f>0.58*Padron!$G$21</f>
        <v>187000.69999999998</v>
      </c>
      <c r="R4" s="126">
        <f>0.22*242007</f>
        <v>53241.54</v>
      </c>
      <c r="S4" s="127">
        <f>MIN(Q4,O4+P4)+R4</f>
        <v>219631.83000000002</v>
      </c>
      <c r="T4" s="127"/>
      <c r="U4" s="126">
        <f>0.92*F4</f>
        <v>40053.120000000003</v>
      </c>
      <c r="V4" s="126">
        <f>11646.29*G4</f>
        <v>116462.90000000001</v>
      </c>
      <c r="W4" s="126">
        <f>0.61*Padron!$C$21</f>
        <v>194591.22</v>
      </c>
      <c r="X4" s="132">
        <f>0.23*233502</f>
        <v>53705.46</v>
      </c>
      <c r="Y4" s="127">
        <f>MIN(W4,U4+V4)+X4</f>
        <v>210221.48</v>
      </c>
      <c r="Z4" s="127"/>
    </row>
    <row r="5" spans="1:26">
      <c r="A5" t="s">
        <v>201</v>
      </c>
      <c r="B5" s="94">
        <v>10369</v>
      </c>
      <c r="C5" s="94">
        <v>2</v>
      </c>
      <c r="D5" s="94">
        <v>8983</v>
      </c>
      <c r="E5" s="94">
        <v>2</v>
      </c>
      <c r="F5" s="140"/>
      <c r="G5" s="140"/>
      <c r="H5" s="94"/>
      <c r="I5" s="126"/>
      <c r="J5" s="126"/>
      <c r="K5" s="126"/>
      <c r="L5" s="126"/>
      <c r="M5" s="126"/>
      <c r="N5" s="127"/>
      <c r="O5" s="126"/>
      <c r="P5" s="126"/>
      <c r="Q5" s="126"/>
      <c r="R5" s="126"/>
      <c r="S5" s="126"/>
      <c r="T5" s="127"/>
      <c r="U5" s="126"/>
      <c r="V5" s="126"/>
      <c r="W5" s="126"/>
      <c r="X5" s="132"/>
      <c r="Y5" s="127"/>
      <c r="Z5" s="127"/>
    </row>
    <row r="6" spans="1:26">
      <c r="A6" t="s">
        <v>229</v>
      </c>
      <c r="B6" s="94"/>
      <c r="C6" s="94"/>
      <c r="D6" s="94"/>
      <c r="E6" s="94"/>
      <c r="F6" s="140">
        <v>18298</v>
      </c>
      <c r="G6" s="140">
        <v>4</v>
      </c>
      <c r="H6" s="94"/>
      <c r="I6" s="126"/>
      <c r="J6" s="126"/>
      <c r="K6" s="126"/>
      <c r="L6" s="126"/>
      <c r="M6" s="126"/>
      <c r="N6" s="127"/>
      <c r="O6" s="126"/>
      <c r="P6" s="126"/>
      <c r="Q6" s="126"/>
      <c r="R6" s="126"/>
      <c r="S6" s="126"/>
      <c r="T6" s="127"/>
      <c r="U6" s="126">
        <f t="shared" ref="U6:U7" si="0">0.92*F6</f>
        <v>16834.16</v>
      </c>
      <c r="V6" s="126">
        <f t="shared" ref="V6:V7" si="1">11646.29*G6</f>
        <v>46585.16</v>
      </c>
      <c r="W6" s="126">
        <f>0.61*Padron!$C$21</f>
        <v>194591.22</v>
      </c>
      <c r="X6" s="132">
        <f t="shared" ref="X6:X7" si="2">0.23*233502</f>
        <v>53705.46</v>
      </c>
      <c r="Y6" s="127">
        <f t="shared" ref="Y6:Y7" si="3">MIN(W6,U6+V6)+X6</f>
        <v>117124.78</v>
      </c>
      <c r="Z6" s="127"/>
    </row>
    <row r="7" spans="1:26">
      <c r="A7" t="s">
        <v>230</v>
      </c>
      <c r="B7" s="94"/>
      <c r="C7" s="94"/>
      <c r="D7" s="94"/>
      <c r="E7" s="94"/>
      <c r="F7" s="140">
        <v>17138</v>
      </c>
      <c r="G7" s="140">
        <v>4</v>
      </c>
      <c r="H7" s="94"/>
      <c r="I7" s="94"/>
      <c r="N7" s="127"/>
      <c r="O7" s="94"/>
      <c r="T7" s="127"/>
      <c r="U7" s="126">
        <f t="shared" si="0"/>
        <v>15766.960000000001</v>
      </c>
      <c r="V7" s="126">
        <f t="shared" si="1"/>
        <v>46585.16</v>
      </c>
      <c r="W7" s="126">
        <f>0.61*Padron!$C$21</f>
        <v>194591.22</v>
      </c>
      <c r="X7" s="132">
        <f t="shared" si="2"/>
        <v>53705.46</v>
      </c>
      <c r="Y7" s="127">
        <f t="shared" si="3"/>
        <v>116057.58</v>
      </c>
      <c r="Z7" s="127"/>
    </row>
    <row r="8" spans="1:26">
      <c r="B8" s="94"/>
      <c r="C8" s="94"/>
      <c r="D8" s="94"/>
      <c r="E8" s="94"/>
      <c r="F8" s="94"/>
      <c r="G8" s="94"/>
      <c r="H8" s="94"/>
      <c r="I8" s="94"/>
      <c r="N8" s="127"/>
      <c r="O8" s="94"/>
      <c r="T8" s="127"/>
      <c r="U8" s="94"/>
      <c r="Z8" s="127"/>
    </row>
    <row r="9" spans="1:26">
      <c r="B9" s="94"/>
      <c r="C9" s="97" t="s">
        <v>143</v>
      </c>
      <c r="D9" s="94"/>
      <c r="E9" s="94"/>
      <c r="F9" s="97" t="s">
        <v>94</v>
      </c>
      <c r="G9" s="94"/>
      <c r="H9" s="94"/>
      <c r="I9" s="94"/>
      <c r="O9" s="94"/>
      <c r="U9" s="94"/>
    </row>
    <row r="10" spans="1:26">
      <c r="B10" s="94"/>
      <c r="C10" s="94"/>
      <c r="D10" s="94"/>
      <c r="E10" s="94"/>
      <c r="F10" s="94" t="s">
        <v>240</v>
      </c>
      <c r="G10" s="94"/>
      <c r="H10" s="94"/>
      <c r="I10" s="94"/>
      <c r="O10" s="94"/>
      <c r="U10" s="94"/>
    </row>
    <row r="11" spans="1:26">
      <c r="A11" t="s">
        <v>136</v>
      </c>
      <c r="B11" s="94" t="s">
        <v>200</v>
      </c>
      <c r="C11" s="94"/>
      <c r="D11" s="94"/>
      <c r="E11" s="94"/>
      <c r="F11" s="94"/>
      <c r="G11" s="94"/>
      <c r="H11" s="94"/>
      <c r="I11" s="94"/>
      <c r="O11" s="94"/>
      <c r="U11" s="94"/>
    </row>
    <row r="12" spans="1:26">
      <c r="A12">
        <v>2007</v>
      </c>
      <c r="B12" s="94" t="s">
        <v>204</v>
      </c>
      <c r="C12" s="94"/>
      <c r="D12" s="94"/>
      <c r="E12" s="94"/>
      <c r="F12" s="94"/>
      <c r="G12" s="94"/>
      <c r="H12" s="94"/>
      <c r="I12" s="94"/>
      <c r="O12" s="94"/>
      <c r="U12" s="94"/>
    </row>
    <row r="13" spans="1:26">
      <c r="A13">
        <v>2011</v>
      </c>
      <c r="B13" s="94" t="s">
        <v>203</v>
      </c>
      <c r="C13" s="94"/>
      <c r="D13" s="94"/>
      <c r="E13" s="94"/>
      <c r="F13" s="94"/>
      <c r="G13" s="94"/>
      <c r="H13" s="94"/>
      <c r="I13" s="94"/>
      <c r="O13" s="94"/>
      <c r="U13" s="94"/>
    </row>
    <row r="14" spans="1:26">
      <c r="A14">
        <v>2015</v>
      </c>
      <c r="B14" t="s">
        <v>202</v>
      </c>
      <c r="I14" s="94"/>
      <c r="O14" s="94"/>
      <c r="U14" s="94"/>
    </row>
    <row r="15" spans="1:26">
      <c r="I15" s="94"/>
      <c r="O15" s="94"/>
      <c r="U15" s="94"/>
    </row>
    <row r="16" spans="1:26">
      <c r="I16" s="94"/>
      <c r="O16" s="94"/>
      <c r="U16" s="94"/>
    </row>
  </sheetData>
  <mergeCells count="6">
    <mergeCell ref="U1:Y1"/>
    <mergeCell ref="B1:C1"/>
    <mergeCell ref="D1:E1"/>
    <mergeCell ref="F1:G1"/>
    <mergeCell ref="I1:M1"/>
    <mergeCell ref="O1:S1"/>
  </mergeCells>
  <hyperlinks>
    <hyperlink ref="C9" r:id="rId1"/>
    <hyperlink ref="F9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7" ySplit="2" topLeftCell="N3" activePane="bottomRight" state="frozen"/>
      <selection pane="topRight" activeCell="H1" sqref="H1"/>
      <selection pane="bottomLeft" activeCell="A3" sqref="A3"/>
      <selection pane="bottomRight" activeCell="H5" sqref="H5"/>
    </sheetView>
  </sheetViews>
  <sheetFormatPr baseColWidth="10" defaultRowHeight="15" x14ac:dyDescent="0"/>
  <cols>
    <col min="1" max="1" width="14" bestFit="1" customWidth="1"/>
    <col min="11" max="13" width="11.83203125" bestFit="1" customWidth="1"/>
    <col min="14" max="14" width="3.33203125" style="124" customWidth="1"/>
    <col min="17" max="19" width="11.83203125" bestFit="1" customWidth="1"/>
    <col min="20" max="20" width="3.33203125" style="124" customWidth="1"/>
    <col min="23" max="25" width="11.83203125" bestFit="1" customWidth="1"/>
    <col min="26" max="26" width="3.33203125" style="124" customWidth="1"/>
  </cols>
  <sheetData>
    <row r="1" spans="1:26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121"/>
      <c r="O1" s="152">
        <v>2011</v>
      </c>
      <c r="P1" s="152"/>
      <c r="Q1" s="153"/>
      <c r="R1" s="153"/>
      <c r="S1" s="153"/>
      <c r="T1" s="121"/>
      <c r="U1" s="152">
        <v>2015</v>
      </c>
      <c r="V1" s="152"/>
      <c r="W1" s="153"/>
      <c r="X1" s="153"/>
      <c r="Y1" s="153"/>
      <c r="Z1" s="121"/>
    </row>
    <row r="2" spans="1:26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121" t="s">
        <v>88</v>
      </c>
      <c r="J2" s="121" t="s">
        <v>89</v>
      </c>
      <c r="K2" s="121" t="s">
        <v>3</v>
      </c>
      <c r="L2" s="121" t="s">
        <v>133</v>
      </c>
      <c r="M2" s="121" t="s">
        <v>6</v>
      </c>
      <c r="N2" s="121"/>
      <c r="O2" s="121" t="s">
        <v>88</v>
      </c>
      <c r="P2" s="121" t="s">
        <v>89</v>
      </c>
      <c r="Q2" s="121" t="s">
        <v>3</v>
      </c>
      <c r="R2" s="121" t="s">
        <v>133</v>
      </c>
      <c r="S2" s="121" t="s">
        <v>6</v>
      </c>
      <c r="T2" s="121"/>
      <c r="U2" s="121" t="s">
        <v>88</v>
      </c>
      <c r="V2" s="121" t="s">
        <v>89</v>
      </c>
      <c r="W2" s="121" t="s">
        <v>3</v>
      </c>
      <c r="X2" s="121" t="s">
        <v>133</v>
      </c>
      <c r="Y2" s="121" t="s">
        <v>6</v>
      </c>
      <c r="Z2" s="121"/>
    </row>
    <row r="3" spans="1:26">
      <c r="A3" t="s">
        <v>90</v>
      </c>
      <c r="B3" s="94">
        <v>379011</v>
      </c>
      <c r="C3" s="94">
        <v>29</v>
      </c>
      <c r="D3" s="94">
        <v>382871</v>
      </c>
      <c r="E3" s="94">
        <v>33</v>
      </c>
      <c r="F3" s="140">
        <v>236456</v>
      </c>
      <c r="G3" s="140">
        <v>22</v>
      </c>
      <c r="H3" s="94"/>
      <c r="I3" s="126">
        <f>0.52*B3</f>
        <v>197085.72</v>
      </c>
      <c r="J3" s="126">
        <f>9939.84*C3</f>
        <v>288255.35999999999</v>
      </c>
      <c r="K3" s="126">
        <f>0.39*Padron!$K$18</f>
        <v>534419.34</v>
      </c>
      <c r="L3" s="126">
        <f>0.22*963118</f>
        <v>211885.96</v>
      </c>
      <c r="M3" s="127">
        <f>MIN(K3,I3+J3)+L3</f>
        <v>697227.03999999992</v>
      </c>
      <c r="N3" s="127"/>
      <c r="O3" s="126">
        <f>0.57*D3</f>
        <v>218236.46999999997</v>
      </c>
      <c r="P3" s="126">
        <f>11112.87*E3</f>
        <v>366724.71</v>
      </c>
      <c r="Q3" s="126">
        <f>0.43*Padron!$G$18</f>
        <v>628650.97</v>
      </c>
      <c r="R3" s="126">
        <f>0.24*996530</f>
        <v>239167.19999999998</v>
      </c>
      <c r="S3" s="127">
        <f>MIN(Q3,O3+P3)+R3</f>
        <v>824128.37999999989</v>
      </c>
      <c r="T3" s="127"/>
      <c r="U3" s="126">
        <f>0.59*F3</f>
        <v>139509.03999999998</v>
      </c>
      <c r="V3" s="126">
        <f>11223.36*G3</f>
        <v>246913.92000000001</v>
      </c>
      <c r="W3" s="126">
        <f>0.44*Padron!$C$18</f>
        <v>645399.92000000004</v>
      </c>
      <c r="X3" s="132">
        <f>0.24*1000523</f>
        <v>240125.52</v>
      </c>
      <c r="Y3" s="127">
        <f>MIN(W3,U3+V3)+X3</f>
        <v>626548.47999999998</v>
      </c>
      <c r="Z3" s="127"/>
    </row>
    <row r="4" spans="1:26">
      <c r="A4" t="s">
        <v>91</v>
      </c>
      <c r="B4" s="94">
        <v>207998</v>
      </c>
      <c r="C4" s="94">
        <v>15</v>
      </c>
      <c r="D4" s="94">
        <v>155506</v>
      </c>
      <c r="E4" s="94">
        <v>11</v>
      </c>
      <c r="F4" s="140">
        <v>151504</v>
      </c>
      <c r="G4" s="140">
        <v>13</v>
      </c>
      <c r="H4" s="94"/>
      <c r="I4" s="126">
        <f>0.52*B4</f>
        <v>108158.96</v>
      </c>
      <c r="J4" s="126">
        <f>9939.84*C4</f>
        <v>149097.60000000001</v>
      </c>
      <c r="K4" s="126">
        <f>0.39*Padron!$K$18</f>
        <v>534419.34</v>
      </c>
      <c r="L4" s="126">
        <f>0.22*963118</f>
        <v>211885.96</v>
      </c>
      <c r="M4" s="127">
        <f>MIN(K4,I4+J4)+L4</f>
        <v>469142.52</v>
      </c>
      <c r="N4" s="127"/>
      <c r="O4" s="126">
        <f>0.57*D4</f>
        <v>88638.42</v>
      </c>
      <c r="P4" s="126">
        <f>11112.87*E4</f>
        <v>122241.57</v>
      </c>
      <c r="Q4" s="126">
        <f>0.43*Padron!$G$18</f>
        <v>628650.97</v>
      </c>
      <c r="R4" s="126">
        <f>0.24*996530</f>
        <v>239167.19999999998</v>
      </c>
      <c r="S4" s="127">
        <f>MIN(Q4,O4+P4)+R4</f>
        <v>450047.18999999994</v>
      </c>
      <c r="T4" s="127"/>
      <c r="U4" s="126">
        <f>0.59*F4</f>
        <v>89387.36</v>
      </c>
      <c r="V4" s="126">
        <f>11223.36*G4</f>
        <v>145903.67999999999</v>
      </c>
      <c r="W4" s="126">
        <f>0.44*Padron!$C$18</f>
        <v>645399.92000000004</v>
      </c>
      <c r="X4" s="132">
        <f>0.24*1000523</f>
        <v>240125.52</v>
      </c>
      <c r="Y4" s="127">
        <f>MIN(W4,U4+V4)+X4</f>
        <v>475416.55999999994</v>
      </c>
      <c r="Z4" s="127"/>
    </row>
    <row r="5" spans="1:26">
      <c r="A5" t="s">
        <v>92</v>
      </c>
      <c r="B5" s="94">
        <v>40633</v>
      </c>
      <c r="C5" s="94">
        <v>1</v>
      </c>
      <c r="D5" s="94">
        <v>50988</v>
      </c>
      <c r="E5" s="94">
        <v>1</v>
      </c>
      <c r="F5" s="140"/>
      <c r="G5" s="140"/>
      <c r="H5" s="94"/>
      <c r="I5" s="126">
        <f>0.52*B5</f>
        <v>21129.16</v>
      </c>
      <c r="J5" s="126">
        <f>9939.84*C5</f>
        <v>9939.84</v>
      </c>
      <c r="K5" s="126">
        <f>0.39*Padron!$K$18</f>
        <v>534419.34</v>
      </c>
      <c r="L5" s="126">
        <f>0.22*963118</f>
        <v>211885.96</v>
      </c>
      <c r="M5" s="127">
        <f>MIN(K5,I5+J5)+L5</f>
        <v>242954.96</v>
      </c>
      <c r="N5" s="127"/>
      <c r="O5" s="126">
        <f>0.57*D5</f>
        <v>29063.159999999996</v>
      </c>
      <c r="P5" s="126">
        <f>11112.87*E5</f>
        <v>11112.87</v>
      </c>
      <c r="Q5" s="126">
        <f>0.43*Padron!$G$18</f>
        <v>628650.97</v>
      </c>
      <c r="R5" s="126">
        <f>0.24*996530</f>
        <v>239167.19999999998</v>
      </c>
      <c r="S5" s="127">
        <f>MIN(Q5,O5+P5)+R5</f>
        <v>279343.23</v>
      </c>
      <c r="T5" s="127"/>
      <c r="U5" s="126"/>
      <c r="V5" s="126"/>
      <c r="W5" s="126"/>
      <c r="X5" s="132"/>
      <c r="Y5" s="127"/>
      <c r="Z5" s="127"/>
    </row>
    <row r="6" spans="1:26">
      <c r="A6" t="s">
        <v>229</v>
      </c>
      <c r="B6" s="94"/>
      <c r="C6" s="94"/>
      <c r="D6" s="94"/>
      <c r="E6" s="94"/>
      <c r="F6" s="140">
        <v>83133</v>
      </c>
      <c r="G6" s="140">
        <v>6</v>
      </c>
      <c r="H6" s="94"/>
      <c r="I6" s="126"/>
      <c r="J6" s="126"/>
      <c r="K6" s="126"/>
      <c r="L6" s="126"/>
      <c r="M6" s="126"/>
      <c r="N6" s="127"/>
      <c r="O6" s="126"/>
      <c r="P6" s="126"/>
      <c r="Q6" s="126"/>
      <c r="R6" s="126"/>
      <c r="S6" s="126"/>
      <c r="T6" s="127"/>
      <c r="U6" s="126">
        <f t="shared" ref="U6:U7" si="0">0.59*F6</f>
        <v>49048.469999999994</v>
      </c>
      <c r="V6" s="126">
        <f t="shared" ref="V6:V7" si="1">11223.36*G6</f>
        <v>67340.160000000003</v>
      </c>
      <c r="W6" s="126">
        <f>0.44*Padron!$C$18</f>
        <v>645399.92000000004</v>
      </c>
      <c r="X6" s="132">
        <f t="shared" ref="X6:X7" si="2">0.24*1000523</f>
        <v>240125.52</v>
      </c>
      <c r="Y6" s="127">
        <f t="shared" ref="Y6:Y7" si="3">MIN(W6,U6+V6)+X6</f>
        <v>356514.15</v>
      </c>
      <c r="Z6" s="127"/>
    </row>
    <row r="7" spans="1:26">
      <c r="A7" t="s">
        <v>230</v>
      </c>
      <c r="B7" s="94"/>
      <c r="C7" s="94"/>
      <c r="D7" s="94"/>
      <c r="E7" s="94"/>
      <c r="F7" s="140">
        <v>79057</v>
      </c>
      <c r="G7" s="140">
        <v>4</v>
      </c>
      <c r="H7" s="94"/>
      <c r="I7" s="126"/>
      <c r="J7" s="126"/>
      <c r="K7" s="126"/>
      <c r="L7" s="126"/>
      <c r="M7" s="126"/>
      <c r="N7" s="127"/>
      <c r="O7" s="126"/>
      <c r="P7" s="126"/>
      <c r="Q7" s="126"/>
      <c r="R7" s="126"/>
      <c r="S7" s="126"/>
      <c r="T7" s="127"/>
      <c r="U7" s="126">
        <f t="shared" si="0"/>
        <v>46643.63</v>
      </c>
      <c r="V7" s="126">
        <f t="shared" si="1"/>
        <v>44893.440000000002</v>
      </c>
      <c r="W7" s="126">
        <f>0.44*Padron!$C$18</f>
        <v>645399.92000000004</v>
      </c>
      <c r="X7" s="132">
        <f t="shared" si="2"/>
        <v>240125.52</v>
      </c>
      <c r="Y7" s="127">
        <f t="shared" si="3"/>
        <v>331662.58999999997</v>
      </c>
      <c r="Z7" s="127"/>
    </row>
    <row r="8" spans="1:26">
      <c r="B8" s="94"/>
      <c r="C8" s="94"/>
      <c r="D8" s="94"/>
      <c r="E8" s="94"/>
      <c r="F8" s="94"/>
      <c r="G8" s="94"/>
      <c r="H8" s="94"/>
      <c r="I8" s="94"/>
      <c r="N8" s="127"/>
      <c r="O8" s="94"/>
      <c r="T8" s="127"/>
      <c r="U8" s="94"/>
      <c r="Z8" s="127"/>
    </row>
    <row r="9" spans="1:26">
      <c r="B9" s="94"/>
      <c r="C9" s="97" t="s">
        <v>143</v>
      </c>
      <c r="D9" s="94"/>
      <c r="E9" s="97" t="s">
        <v>143</v>
      </c>
      <c r="F9" s="97" t="s">
        <v>94</v>
      </c>
      <c r="G9" s="94"/>
      <c r="H9" s="94"/>
      <c r="I9" s="94"/>
      <c r="O9" s="94"/>
      <c r="U9" s="94"/>
    </row>
    <row r="10" spans="1:26">
      <c r="B10" s="94"/>
      <c r="C10" s="94"/>
      <c r="D10" s="94"/>
      <c r="E10" s="94"/>
      <c r="F10" s="94" t="s">
        <v>241</v>
      </c>
      <c r="G10" s="94"/>
      <c r="H10" s="94"/>
      <c r="I10" s="94"/>
      <c r="O10" s="94"/>
      <c r="U10" s="94"/>
    </row>
    <row r="11" spans="1:26">
      <c r="B11" s="94"/>
      <c r="C11" s="94"/>
      <c r="D11" s="94"/>
      <c r="E11" s="94"/>
      <c r="F11" s="94"/>
      <c r="G11" s="94"/>
      <c r="H11" s="94"/>
      <c r="I11" s="94"/>
      <c r="O11" s="94"/>
      <c r="U11" s="94"/>
    </row>
    <row r="12" spans="1:26">
      <c r="A12" t="s">
        <v>136</v>
      </c>
      <c r="B12" s="94" t="s">
        <v>205</v>
      </c>
      <c r="C12" s="94"/>
      <c r="D12" s="94"/>
      <c r="E12" s="94"/>
      <c r="F12" s="94"/>
      <c r="G12" s="94"/>
      <c r="H12" s="94"/>
      <c r="I12" s="94"/>
      <c r="O12" s="94"/>
      <c r="U12" s="94"/>
    </row>
    <row r="13" spans="1:26">
      <c r="A13">
        <v>2007</v>
      </c>
      <c r="B13" s="94" t="s">
        <v>206</v>
      </c>
      <c r="C13" s="94"/>
      <c r="D13" s="94"/>
      <c r="E13" s="94"/>
      <c r="F13" s="94"/>
      <c r="G13" s="94"/>
      <c r="H13" s="94"/>
      <c r="I13" s="94"/>
      <c r="O13" s="94"/>
      <c r="U13" s="94"/>
    </row>
    <row r="14" spans="1:26">
      <c r="A14">
        <v>2011</v>
      </c>
      <c r="B14" t="s">
        <v>207</v>
      </c>
      <c r="I14" s="94"/>
      <c r="O14" s="94"/>
      <c r="U14" s="94"/>
    </row>
    <row r="15" spans="1:26">
      <c r="A15">
        <v>2015</v>
      </c>
      <c r="B15" t="s">
        <v>208</v>
      </c>
      <c r="I15" s="94"/>
      <c r="O15" s="94"/>
      <c r="U15" s="94"/>
    </row>
    <row r="16" spans="1:26">
      <c r="I16" s="94"/>
      <c r="O16" s="94"/>
      <c r="U16" s="94"/>
    </row>
  </sheetData>
  <mergeCells count="6">
    <mergeCell ref="U1:Y1"/>
    <mergeCell ref="B1:C1"/>
    <mergeCell ref="D1:E1"/>
    <mergeCell ref="F1:G1"/>
    <mergeCell ref="I1:M1"/>
    <mergeCell ref="O1:S1"/>
  </mergeCells>
  <hyperlinks>
    <hyperlink ref="C9" r:id="rId1"/>
    <hyperlink ref="E9" r:id="rId2"/>
    <hyperlink ref="F9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7" ySplit="2" topLeftCell="O3" activePane="bottomRight" state="frozen"/>
      <selection pane="topRight" activeCell="H1" sqref="H1"/>
      <selection pane="bottomLeft" activeCell="A3" sqref="A3"/>
      <selection pane="bottomRight" activeCell="Q7" sqref="Q7"/>
    </sheetView>
  </sheetViews>
  <sheetFormatPr baseColWidth="10" defaultRowHeight="15" x14ac:dyDescent="0"/>
  <cols>
    <col min="1" max="1" width="14" bestFit="1" customWidth="1"/>
    <col min="11" max="13" width="11.83203125" bestFit="1" customWidth="1"/>
    <col min="14" max="14" width="3.33203125" style="124" customWidth="1"/>
    <col min="17" max="19" width="11.83203125" bestFit="1" customWidth="1"/>
    <col min="20" max="20" width="3.33203125" style="124" customWidth="1"/>
    <col min="23" max="25" width="11.83203125" bestFit="1" customWidth="1"/>
    <col min="26" max="26" width="3.33203125" style="124" customWidth="1"/>
  </cols>
  <sheetData>
    <row r="1" spans="1:26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121"/>
      <c r="O1" s="152">
        <v>2011</v>
      </c>
      <c r="P1" s="152"/>
      <c r="Q1" s="153"/>
      <c r="R1" s="153"/>
      <c r="S1" s="153"/>
      <c r="T1" s="121"/>
      <c r="U1" s="152">
        <v>2015</v>
      </c>
      <c r="V1" s="152"/>
      <c r="W1" s="153"/>
      <c r="X1" s="153"/>
      <c r="Y1" s="153"/>
      <c r="Z1" s="121"/>
    </row>
    <row r="2" spans="1:26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121" t="s">
        <v>88</v>
      </c>
      <c r="J2" s="121" t="s">
        <v>89</v>
      </c>
      <c r="K2" s="121" t="s">
        <v>3</v>
      </c>
      <c r="L2" s="121" t="s">
        <v>133</v>
      </c>
      <c r="M2" s="121" t="s">
        <v>6</v>
      </c>
      <c r="N2" s="121"/>
      <c r="O2" s="121" t="s">
        <v>88</v>
      </c>
      <c r="P2" s="121" t="s">
        <v>89</v>
      </c>
      <c r="Q2" s="121" t="s">
        <v>3</v>
      </c>
      <c r="R2" s="121" t="s">
        <v>133</v>
      </c>
      <c r="S2" s="121" t="s">
        <v>6</v>
      </c>
      <c r="T2" s="121"/>
      <c r="U2" s="121" t="s">
        <v>88</v>
      </c>
      <c r="V2" s="121" t="s">
        <v>89</v>
      </c>
      <c r="W2" s="121" t="s">
        <v>3</v>
      </c>
      <c r="X2" s="121" t="s">
        <v>133</v>
      </c>
      <c r="Y2" s="121" t="s">
        <v>6</v>
      </c>
      <c r="Z2" s="121"/>
    </row>
    <row r="3" spans="1:26">
      <c r="A3" t="s">
        <v>212</v>
      </c>
      <c r="B3" s="94">
        <v>139132</v>
      </c>
      <c r="C3" s="94">
        <v>22</v>
      </c>
      <c r="D3" s="94">
        <v>111474</v>
      </c>
      <c r="E3" s="94">
        <v>19</v>
      </c>
      <c r="F3" s="140">
        <v>91329</v>
      </c>
      <c r="G3" s="140">
        <v>15</v>
      </c>
      <c r="H3" s="94"/>
      <c r="I3" s="126">
        <f>0.84*B3</f>
        <v>116870.87999999999</v>
      </c>
      <c r="J3" s="126">
        <f>10458*C3</f>
        <v>230076</v>
      </c>
      <c r="K3" s="126">
        <v>335690</v>
      </c>
      <c r="L3" s="126">
        <f>0.21*471653</f>
        <v>99047.12999999999</v>
      </c>
      <c r="M3" s="127">
        <f>MIN(K3,I3+J3)+L3</f>
        <v>434737.13</v>
      </c>
      <c r="N3" s="127"/>
      <c r="O3" s="126">
        <f>0.92*D3</f>
        <v>102556.08</v>
      </c>
      <c r="P3" s="126">
        <f>11472*E3</f>
        <v>217968</v>
      </c>
      <c r="Q3" s="126">
        <v>389697</v>
      </c>
      <c r="R3" s="126">
        <f>0.23*485386</f>
        <v>111638.78</v>
      </c>
      <c r="S3" s="127">
        <f>MIN(Q3,O3+P3)+R3</f>
        <v>432162.86</v>
      </c>
      <c r="T3" s="127"/>
      <c r="U3" s="126">
        <f>0.95*F3</f>
        <v>86762.55</v>
      </c>
      <c r="V3" s="126">
        <f>11850*G3</f>
        <v>177750</v>
      </c>
      <c r="W3" s="126">
        <v>405000</v>
      </c>
      <c r="X3" s="132">
        <f>0.24*478094</f>
        <v>114742.56</v>
      </c>
      <c r="Y3" s="127">
        <f>MIN(W3,U3+V3)+X3</f>
        <v>379255.11</v>
      </c>
      <c r="Z3" s="127"/>
    </row>
    <row r="4" spans="1:26">
      <c r="A4" t="s">
        <v>213</v>
      </c>
      <c r="B4" s="94">
        <v>74158</v>
      </c>
      <c r="C4" s="94">
        <v>12</v>
      </c>
      <c r="D4" s="94">
        <v>51238</v>
      </c>
      <c r="E4" s="94">
        <v>9</v>
      </c>
      <c r="F4" s="140">
        <v>44916</v>
      </c>
      <c r="G4" s="140">
        <v>7</v>
      </c>
      <c r="H4" s="94"/>
      <c r="I4" s="126">
        <f>0.84*B4</f>
        <v>62292.72</v>
      </c>
      <c r="J4" s="126">
        <f>10458*C4</f>
        <v>125496</v>
      </c>
      <c r="K4" s="126">
        <v>335690</v>
      </c>
      <c r="L4" s="126">
        <f>0.21*471653</f>
        <v>99047.12999999999</v>
      </c>
      <c r="M4" s="127">
        <f>MIN(K4,I4+J4)+L4</f>
        <v>286835.84999999998</v>
      </c>
      <c r="N4" s="127"/>
      <c r="O4" s="126">
        <f>0.92*D4</f>
        <v>47138.96</v>
      </c>
      <c r="P4" s="126">
        <f>11472*E4</f>
        <v>103248</v>
      </c>
      <c r="Q4" s="126">
        <v>389697</v>
      </c>
      <c r="R4" s="126">
        <f>0.23*485386</f>
        <v>111638.78</v>
      </c>
      <c r="S4" s="127">
        <f>MIN(Q4,O4+P4)+R4</f>
        <v>262025.74</v>
      </c>
      <c r="T4" s="127"/>
      <c r="U4" s="126">
        <f>0.95*F4</f>
        <v>42670.2</v>
      </c>
      <c r="V4" s="126">
        <f>11850*G4</f>
        <v>82950</v>
      </c>
      <c r="W4" s="126">
        <v>405000</v>
      </c>
      <c r="X4" s="132">
        <f>0.24*478094</f>
        <v>114742.56</v>
      </c>
      <c r="Y4" s="127">
        <f>MIN(W4,U4+V4)+X4</f>
        <v>240362.76</v>
      </c>
      <c r="Z4" s="127"/>
    </row>
    <row r="5" spans="1:26">
      <c r="A5" t="s">
        <v>214</v>
      </c>
      <c r="B5" s="94">
        <v>77872</v>
      </c>
      <c r="C5" s="94">
        <v>12</v>
      </c>
      <c r="D5" s="94">
        <v>49827</v>
      </c>
      <c r="E5" s="94">
        <v>8</v>
      </c>
      <c r="F5" s="140">
        <v>53034</v>
      </c>
      <c r="G5" s="140">
        <v>9</v>
      </c>
      <c r="H5" s="94"/>
      <c r="I5" s="126">
        <f>0.84*B5</f>
        <v>65412.479999999996</v>
      </c>
      <c r="J5" s="126">
        <f>10458*C5</f>
        <v>125496</v>
      </c>
      <c r="K5" s="126">
        <v>335690</v>
      </c>
      <c r="L5" s="126">
        <f>0.21*471653</f>
        <v>99047.12999999999</v>
      </c>
      <c r="M5" s="127">
        <f>MIN(K5,I5+J5)+L5</f>
        <v>289955.61</v>
      </c>
      <c r="N5" s="127"/>
      <c r="O5" s="126">
        <f>0.92*D5</f>
        <v>45840.840000000004</v>
      </c>
      <c r="P5" s="126">
        <f>11472*E5</f>
        <v>91776</v>
      </c>
      <c r="Q5" s="126">
        <v>389697</v>
      </c>
      <c r="R5" s="126">
        <f>0.23*485386</f>
        <v>111638.78</v>
      </c>
      <c r="S5" s="127">
        <f>MIN(Q5,O5+P5)+R5</f>
        <v>249255.62</v>
      </c>
      <c r="T5" s="127"/>
      <c r="U5" s="126">
        <f>0.95*F5</f>
        <v>50382.299999999996</v>
      </c>
      <c r="V5" s="126">
        <f>11850*G5</f>
        <v>106650</v>
      </c>
      <c r="W5" s="126">
        <v>405000</v>
      </c>
      <c r="X5" s="132">
        <f>0.24*478094</f>
        <v>114742.56</v>
      </c>
      <c r="Y5" s="127">
        <f>MIN(W5,U5+V5)+X5</f>
        <v>271774.86</v>
      </c>
      <c r="Z5" s="127"/>
    </row>
    <row r="6" spans="1:26">
      <c r="A6" t="s">
        <v>217</v>
      </c>
      <c r="B6" s="94"/>
      <c r="C6" s="94"/>
      <c r="D6" s="94">
        <v>42916</v>
      </c>
      <c r="E6" s="94">
        <v>7</v>
      </c>
      <c r="F6" s="140">
        <v>47843</v>
      </c>
      <c r="G6" s="140">
        <v>8</v>
      </c>
      <c r="H6" s="94"/>
      <c r="I6" s="126"/>
      <c r="J6" s="126"/>
      <c r="K6" s="126"/>
      <c r="L6" s="126"/>
      <c r="M6" s="127"/>
      <c r="N6" s="127"/>
      <c r="O6" s="126"/>
      <c r="P6" s="126"/>
      <c r="Q6" s="126"/>
      <c r="R6" s="126"/>
      <c r="S6" s="127"/>
      <c r="T6" s="127"/>
      <c r="U6" s="126"/>
      <c r="V6" s="126"/>
      <c r="W6" s="126"/>
      <c r="X6" s="129"/>
      <c r="Y6" s="127"/>
      <c r="Z6" s="127"/>
    </row>
    <row r="7" spans="1:26">
      <c r="A7" t="s">
        <v>90</v>
      </c>
      <c r="B7" s="94"/>
      <c r="C7" s="94"/>
      <c r="D7" s="94">
        <v>23551</v>
      </c>
      <c r="E7" s="94">
        <v>4</v>
      </c>
      <c r="F7" s="140">
        <v>13080</v>
      </c>
      <c r="G7" s="140">
        <v>2</v>
      </c>
      <c r="H7" s="94"/>
      <c r="I7" s="126"/>
      <c r="J7" s="126"/>
      <c r="K7" s="126"/>
      <c r="L7" s="126"/>
      <c r="M7" s="127"/>
      <c r="N7" s="127"/>
      <c r="O7" s="126">
        <f>0.92*D7</f>
        <v>21666.920000000002</v>
      </c>
      <c r="P7" s="126">
        <f>11472*E7</f>
        <v>45888</v>
      </c>
      <c r="Q7" s="126">
        <v>389697</v>
      </c>
      <c r="R7" s="126">
        <f>0.23*485386</f>
        <v>111638.78</v>
      </c>
      <c r="S7" s="127">
        <f>MIN(Q7,O7+P7)+R7</f>
        <v>179193.7</v>
      </c>
      <c r="T7" s="127"/>
      <c r="U7" s="126">
        <f>0.95*F7</f>
        <v>12426</v>
      </c>
      <c r="V7" s="126">
        <f>11850*G7</f>
        <v>23700</v>
      </c>
      <c r="W7" s="126">
        <v>405000</v>
      </c>
      <c r="X7" s="132">
        <f>0.24*478094</f>
        <v>114742.56</v>
      </c>
      <c r="Y7" s="127">
        <f>MIN(W7,U7+V7)+X7</f>
        <v>150868.56</v>
      </c>
      <c r="Z7" s="127"/>
    </row>
    <row r="8" spans="1:26">
      <c r="A8" t="s">
        <v>215</v>
      </c>
      <c r="B8" s="94">
        <v>14412</v>
      </c>
      <c r="C8" s="94">
        <v>2</v>
      </c>
      <c r="D8" s="94"/>
      <c r="E8" s="94"/>
      <c r="F8" s="140"/>
      <c r="G8" s="140"/>
      <c r="H8" s="94"/>
      <c r="I8" s="126"/>
      <c r="J8" s="126"/>
      <c r="K8" s="126"/>
      <c r="L8" s="126"/>
      <c r="M8" s="126"/>
      <c r="N8" s="127"/>
      <c r="O8" s="126"/>
      <c r="P8" s="126"/>
      <c r="Q8" s="126"/>
      <c r="R8" s="126"/>
      <c r="S8" s="126"/>
      <c r="T8" s="127"/>
      <c r="U8" s="126"/>
      <c r="V8" s="126"/>
      <c r="W8" s="126"/>
      <c r="X8" s="132"/>
      <c r="Y8" s="127"/>
      <c r="Z8" s="127"/>
    </row>
    <row r="9" spans="1:26">
      <c r="A9" t="s">
        <v>216</v>
      </c>
      <c r="B9" s="94">
        <v>14337</v>
      </c>
      <c r="C9" s="94">
        <v>2</v>
      </c>
      <c r="D9" s="94">
        <v>18457</v>
      </c>
      <c r="E9" s="94">
        <v>3</v>
      </c>
      <c r="F9" s="140">
        <v>12395</v>
      </c>
      <c r="G9" s="140">
        <v>2</v>
      </c>
      <c r="H9" s="94"/>
      <c r="I9" s="94"/>
      <c r="N9" s="127"/>
      <c r="O9" s="94"/>
      <c r="T9" s="127"/>
      <c r="U9" s="126">
        <f t="shared" ref="U9:U10" si="0">0.95*F9</f>
        <v>11775.25</v>
      </c>
      <c r="V9" s="126">
        <f t="shared" ref="V9:V10" si="1">11850*G9</f>
        <v>23700</v>
      </c>
      <c r="W9" s="126">
        <v>405002</v>
      </c>
      <c r="X9" s="132">
        <f t="shared" ref="X9:X10" si="2">0.24*478094</f>
        <v>114742.56</v>
      </c>
      <c r="Y9" s="127">
        <f t="shared" ref="Y9:Y10" si="3">MIN(W9,U9+V9)+X9</f>
        <v>150217.81</v>
      </c>
      <c r="Z9" s="127"/>
    </row>
    <row r="10" spans="1:26">
      <c r="A10" t="s">
        <v>229</v>
      </c>
      <c r="B10" s="94"/>
      <c r="C10" s="94"/>
      <c r="D10" s="94"/>
      <c r="E10" s="94"/>
      <c r="F10" s="140">
        <v>45848</v>
      </c>
      <c r="G10" s="140">
        <v>7</v>
      </c>
      <c r="H10" s="94"/>
      <c r="I10" s="94"/>
      <c r="O10" s="94"/>
      <c r="U10" s="126">
        <f t="shared" si="0"/>
        <v>43555.6</v>
      </c>
      <c r="V10" s="126">
        <f t="shared" si="1"/>
        <v>82950</v>
      </c>
      <c r="W10" s="126">
        <v>405003</v>
      </c>
      <c r="X10" s="132">
        <f t="shared" si="2"/>
        <v>114742.56</v>
      </c>
      <c r="Y10" s="127">
        <f t="shared" si="3"/>
        <v>241248.16</v>
      </c>
    </row>
    <row r="11" spans="1:26">
      <c r="B11" s="94"/>
      <c r="C11" s="94"/>
      <c r="D11" s="94"/>
      <c r="E11" s="94"/>
      <c r="F11" s="94"/>
      <c r="G11" s="94"/>
      <c r="H11" s="94"/>
      <c r="I11" s="94"/>
      <c r="O11" s="94"/>
      <c r="U11" s="94"/>
    </row>
    <row r="12" spans="1:26">
      <c r="B12" s="94"/>
      <c r="C12" s="97" t="s">
        <v>143</v>
      </c>
      <c r="D12" s="94"/>
      <c r="E12" s="97" t="s">
        <v>143</v>
      </c>
      <c r="F12" s="97" t="s">
        <v>94</v>
      </c>
      <c r="G12" s="94"/>
      <c r="H12" s="94"/>
      <c r="I12" s="94"/>
      <c r="O12" s="94"/>
      <c r="U12" s="94"/>
    </row>
    <row r="13" spans="1:26">
      <c r="B13" s="94"/>
      <c r="C13" s="94"/>
      <c r="D13" s="94"/>
      <c r="E13" s="94"/>
      <c r="F13" s="94" t="s">
        <v>242</v>
      </c>
      <c r="G13" s="94"/>
      <c r="H13" s="94"/>
      <c r="I13" s="94"/>
      <c r="O13" s="94"/>
      <c r="U13" s="94"/>
    </row>
    <row r="14" spans="1:26">
      <c r="A14" t="s">
        <v>136</v>
      </c>
      <c r="B14" s="94" t="s">
        <v>209</v>
      </c>
      <c r="C14" s="94"/>
      <c r="D14" s="94"/>
      <c r="E14" s="94"/>
      <c r="F14" s="94"/>
      <c r="G14" s="94"/>
      <c r="H14" s="94"/>
      <c r="I14" s="94"/>
      <c r="O14" s="94"/>
      <c r="U14" s="94"/>
    </row>
    <row r="15" spans="1:26">
      <c r="A15">
        <v>2007</v>
      </c>
      <c r="B15" t="s">
        <v>210</v>
      </c>
      <c r="I15" s="94"/>
      <c r="O15" s="94"/>
      <c r="U15" s="94"/>
    </row>
    <row r="16" spans="1:26">
      <c r="A16">
        <v>2011</v>
      </c>
      <c r="B16" t="s">
        <v>211</v>
      </c>
      <c r="I16" s="94"/>
      <c r="O16" s="94"/>
      <c r="U16" s="94"/>
    </row>
    <row r="17" spans="1:21">
      <c r="A17">
        <v>2015</v>
      </c>
      <c r="B17" t="s">
        <v>83</v>
      </c>
      <c r="I17" s="94"/>
      <c r="O17" s="94"/>
      <c r="U17" s="94"/>
    </row>
  </sheetData>
  <mergeCells count="6">
    <mergeCell ref="U1:Y1"/>
    <mergeCell ref="B1:C1"/>
    <mergeCell ref="D1:E1"/>
    <mergeCell ref="F1:G1"/>
    <mergeCell ref="I1:M1"/>
    <mergeCell ref="O1:S1"/>
  </mergeCells>
  <hyperlinks>
    <hyperlink ref="E12" r:id="rId1"/>
    <hyperlink ref="C12" r:id="rId2"/>
    <hyperlink ref="F12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7" ySplit="2" topLeftCell="N3" activePane="bottomRight" state="frozen"/>
      <selection pane="topRight" activeCell="H1" sqref="H1"/>
      <selection pane="bottomLeft" activeCell="A3" sqref="A3"/>
      <selection pane="bottomRight" activeCell="F3" sqref="F3:G9"/>
    </sheetView>
  </sheetViews>
  <sheetFormatPr baseColWidth="10" defaultRowHeight="15" x14ac:dyDescent="0"/>
  <cols>
    <col min="1" max="1" width="14" bestFit="1" customWidth="1"/>
    <col min="11" max="11" width="11.83203125" bestFit="1" customWidth="1"/>
    <col min="12" max="12" width="12" bestFit="1" customWidth="1"/>
    <col min="13" max="13" width="3.33203125" style="124" customWidth="1"/>
    <col min="16" max="16" width="11.83203125" bestFit="1" customWidth="1"/>
    <col min="17" max="17" width="12" bestFit="1" customWidth="1"/>
    <col min="18" max="18" width="3.33203125" style="124" customWidth="1"/>
    <col min="21" max="21" width="11.83203125" bestFit="1" customWidth="1"/>
    <col min="22" max="22" width="12" bestFit="1" customWidth="1"/>
    <col min="23" max="23" width="3.33203125" style="124" customWidth="1"/>
  </cols>
  <sheetData>
    <row r="1" spans="1:23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21"/>
      <c r="N1" s="152">
        <v>2011</v>
      </c>
      <c r="O1" s="152"/>
      <c r="P1" s="153"/>
      <c r="Q1" s="153"/>
      <c r="R1" s="121"/>
      <c r="S1" s="152">
        <v>2015</v>
      </c>
      <c r="T1" s="152"/>
      <c r="U1" s="153"/>
      <c r="V1" s="153"/>
      <c r="W1" s="121"/>
    </row>
    <row r="2" spans="1:23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121" t="s">
        <v>88</v>
      </c>
      <c r="J2" s="121" t="s">
        <v>89</v>
      </c>
      <c r="K2" s="121" t="s">
        <v>3</v>
      </c>
      <c r="L2" s="121" t="s">
        <v>6</v>
      </c>
      <c r="M2" s="121"/>
      <c r="N2" s="121" t="s">
        <v>88</v>
      </c>
      <c r="O2" s="121" t="s">
        <v>89</v>
      </c>
      <c r="P2" s="121" t="s">
        <v>3</v>
      </c>
      <c r="Q2" s="121" t="s">
        <v>6</v>
      </c>
      <c r="R2" s="121"/>
      <c r="S2" s="121" t="s">
        <v>88</v>
      </c>
      <c r="T2" s="121" t="s">
        <v>89</v>
      </c>
      <c r="U2" s="121" t="s">
        <v>3</v>
      </c>
      <c r="V2" s="121" t="s">
        <v>6</v>
      </c>
      <c r="W2" s="121"/>
    </row>
    <row r="3" spans="1:23">
      <c r="A3" t="s">
        <v>90</v>
      </c>
      <c r="B3" s="94">
        <v>1277458</v>
      </c>
      <c r="C3" s="94">
        <v>54</v>
      </c>
      <c r="D3" s="94">
        <v>1211112</v>
      </c>
      <c r="E3" s="94">
        <v>55</v>
      </c>
      <c r="F3" s="140">
        <v>653186</v>
      </c>
      <c r="G3" s="140">
        <v>31</v>
      </c>
      <c r="H3" s="94"/>
      <c r="I3" s="126">
        <f>0.64*B3</f>
        <v>817573.12</v>
      </c>
      <c r="J3" s="126">
        <f>12786.29*C3</f>
        <v>690459.66</v>
      </c>
      <c r="K3" s="126">
        <f>0.26*Padron!$K$14</f>
        <v>1249796.08</v>
      </c>
      <c r="L3" s="127">
        <f>MIN(I3+J3,K3)</f>
        <v>1249796.08</v>
      </c>
      <c r="M3" s="127"/>
      <c r="N3" s="126">
        <f>D3*0.64</f>
        <v>775111.68000000005</v>
      </c>
      <c r="O3" s="126">
        <f>12786.29*E3</f>
        <v>703245.95000000007</v>
      </c>
      <c r="P3" s="126">
        <f>0.26*Padron!$G$14</f>
        <v>1329043.56</v>
      </c>
      <c r="Q3" s="127">
        <f>MIN(N3+O3,P3)</f>
        <v>1329043.56</v>
      </c>
      <c r="R3" s="127"/>
      <c r="S3" s="126">
        <f>0.64*F3</f>
        <v>418039.04000000004</v>
      </c>
      <c r="T3" s="126">
        <f>12786.29*G3</f>
        <v>396374.99000000005</v>
      </c>
      <c r="U3" s="126">
        <f>0.26*Padron!$C$14</f>
        <v>1301259.44</v>
      </c>
      <c r="V3" s="127">
        <f>MIN(S3+T3,U3)</f>
        <v>814414.03</v>
      </c>
      <c r="W3" s="127"/>
    </row>
    <row r="4" spans="1:23">
      <c r="A4" t="s">
        <v>91</v>
      </c>
      <c r="B4" s="94">
        <v>838987</v>
      </c>
      <c r="C4" s="94">
        <v>38</v>
      </c>
      <c r="D4" s="94">
        <v>687141</v>
      </c>
      <c r="E4" s="94">
        <v>33</v>
      </c>
      <c r="F4" s="140">
        <v>505186</v>
      </c>
      <c r="G4" s="140">
        <v>23</v>
      </c>
      <c r="H4" s="94"/>
      <c r="I4" s="126">
        <f>0.64*B4</f>
        <v>536951.68000000005</v>
      </c>
      <c r="J4" s="126">
        <f>12786.29*C4</f>
        <v>485879.02</v>
      </c>
      <c r="K4" s="126">
        <f>0.26*Padron!$K$14</f>
        <v>1249796.08</v>
      </c>
      <c r="L4" s="127">
        <f>MIN(I4+J4,K4)</f>
        <v>1022830.7000000001</v>
      </c>
      <c r="M4" s="127"/>
      <c r="N4" s="126">
        <f>D4*0.64</f>
        <v>439770.24</v>
      </c>
      <c r="O4" s="126">
        <f>12786.29*E4</f>
        <v>421947.57</v>
      </c>
      <c r="P4" s="126">
        <f>0.26*Padron!$G$14</f>
        <v>1329043.56</v>
      </c>
      <c r="Q4" s="127">
        <f>MIN(N4+O4,P4)</f>
        <v>861717.81</v>
      </c>
      <c r="R4" s="127"/>
      <c r="S4" s="126">
        <f>0.64*F4</f>
        <v>323319.03999999998</v>
      </c>
      <c r="T4" s="126">
        <f>12786.29*G4</f>
        <v>294084.67000000004</v>
      </c>
      <c r="U4" s="126">
        <f>0.26*Padron!$C$14</f>
        <v>1301259.44</v>
      </c>
      <c r="V4" s="127">
        <f>MIN(S4+T4,U4)</f>
        <v>617403.71</v>
      </c>
      <c r="W4" s="127"/>
    </row>
    <row r="5" spans="1:23">
      <c r="A5" t="s">
        <v>219</v>
      </c>
      <c r="B5" s="94">
        <v>195116</v>
      </c>
      <c r="C5" s="94">
        <v>7</v>
      </c>
      <c r="D5" s="94"/>
      <c r="E5" s="94"/>
      <c r="F5" s="140"/>
      <c r="G5" s="140"/>
      <c r="H5" s="94"/>
      <c r="I5" s="126">
        <f>0.64*B5</f>
        <v>124874.24000000001</v>
      </c>
      <c r="J5" s="126">
        <f>12786.29*C5</f>
        <v>89504.03</v>
      </c>
      <c r="K5" s="126">
        <f>0.26*Padron!$K$14</f>
        <v>1249796.08</v>
      </c>
      <c r="L5" s="127">
        <f>MIN(I5+J5,K5)</f>
        <v>214378.27000000002</v>
      </c>
      <c r="M5" s="127"/>
      <c r="N5" s="126"/>
      <c r="O5" s="126"/>
      <c r="P5" s="126"/>
      <c r="Q5" s="126"/>
      <c r="R5" s="127"/>
      <c r="S5" s="126"/>
      <c r="T5" s="126"/>
      <c r="U5" s="126"/>
      <c r="V5" s="126"/>
      <c r="W5" s="127"/>
    </row>
    <row r="6" spans="1:23">
      <c r="A6" t="s">
        <v>220</v>
      </c>
      <c r="B6" s="94"/>
      <c r="C6" s="94"/>
      <c r="D6" s="94">
        <v>176213</v>
      </c>
      <c r="E6" s="94">
        <v>6</v>
      </c>
      <c r="F6" s="140">
        <v>452654</v>
      </c>
      <c r="G6" s="140">
        <v>19</v>
      </c>
      <c r="H6" s="94"/>
      <c r="I6" s="126"/>
      <c r="J6" s="126"/>
      <c r="K6" s="126"/>
      <c r="L6" s="126"/>
      <c r="M6" s="127"/>
      <c r="N6" s="126">
        <f>D6*0.64</f>
        <v>112776.32000000001</v>
      </c>
      <c r="O6" s="126">
        <f>12786.29*E6</f>
        <v>76717.740000000005</v>
      </c>
      <c r="P6" s="126">
        <f>0.26*Padron!$G$14</f>
        <v>1329043.56</v>
      </c>
      <c r="Q6" s="127">
        <f>MIN(N6+O6,P6)</f>
        <v>189494.06</v>
      </c>
      <c r="R6" s="127"/>
      <c r="S6" s="126">
        <f>0.64*F6</f>
        <v>289698.56</v>
      </c>
      <c r="T6" s="126">
        <f>12786.29*G6</f>
        <v>242939.51</v>
      </c>
      <c r="U6" s="126">
        <f>0.26*Padron!$C$14</f>
        <v>1301259.44</v>
      </c>
      <c r="V6" s="127">
        <f>MIN(S6+T6,U6)</f>
        <v>532638.07000000007</v>
      </c>
      <c r="W6" s="127"/>
    </row>
    <row r="7" spans="1:23">
      <c r="A7" t="s">
        <v>221</v>
      </c>
      <c r="B7" s="94"/>
      <c r="C7" s="94"/>
      <c r="D7" s="94">
        <v>63983</v>
      </c>
      <c r="E7" s="94">
        <v>5</v>
      </c>
      <c r="F7" s="140"/>
      <c r="G7" s="140"/>
      <c r="H7" s="94"/>
      <c r="I7" s="126"/>
      <c r="J7" s="126"/>
      <c r="K7" s="126"/>
      <c r="L7" s="126"/>
      <c r="M7" s="127"/>
      <c r="N7" s="126">
        <f>D7*0.64</f>
        <v>40949.120000000003</v>
      </c>
      <c r="O7" s="126">
        <f>12786.29*E7</f>
        <v>63931.450000000004</v>
      </c>
      <c r="P7" s="126">
        <f>0.26*Padron!$G$14</f>
        <v>1329043.56</v>
      </c>
      <c r="Q7" s="127">
        <f>MIN(N7+O7,P7)</f>
        <v>104880.57</v>
      </c>
      <c r="R7" s="127"/>
      <c r="S7" s="126"/>
      <c r="T7" s="126"/>
      <c r="U7" s="126"/>
      <c r="V7" s="127"/>
      <c r="W7" s="127"/>
    </row>
    <row r="8" spans="1:23">
      <c r="A8" t="s">
        <v>229</v>
      </c>
      <c r="B8" s="94"/>
      <c r="C8" s="94"/>
      <c r="D8" s="94"/>
      <c r="E8" s="94"/>
      <c r="F8" s="140">
        <v>279596</v>
      </c>
      <c r="G8" s="140">
        <v>13</v>
      </c>
      <c r="H8" s="94"/>
      <c r="I8" s="126"/>
      <c r="J8" s="126"/>
      <c r="K8" s="126"/>
      <c r="L8" s="126"/>
      <c r="M8" s="127"/>
      <c r="N8" s="126"/>
      <c r="O8" s="126"/>
      <c r="P8" s="126"/>
      <c r="Q8" s="126"/>
      <c r="R8" s="127"/>
      <c r="S8" s="126">
        <f>0.64*F8</f>
        <v>178941.44</v>
      </c>
      <c r="T8" s="126">
        <f>12786.29*G8</f>
        <v>166221.77000000002</v>
      </c>
      <c r="U8" s="126">
        <f>0.26*Padron!$C$14</f>
        <v>1301259.44</v>
      </c>
      <c r="V8" s="127">
        <f t="shared" ref="V8:V9" si="0">MIN(S8+T8,U8)</f>
        <v>345163.21</v>
      </c>
      <c r="W8" s="127"/>
    </row>
    <row r="9" spans="1:23">
      <c r="A9" t="s">
        <v>230</v>
      </c>
      <c r="B9" s="94"/>
      <c r="C9" s="94"/>
      <c r="D9" s="94"/>
      <c r="E9" s="94"/>
      <c r="F9" s="140">
        <v>306396</v>
      </c>
      <c r="G9" s="140">
        <v>13</v>
      </c>
      <c r="H9" s="94"/>
      <c r="I9" s="126"/>
      <c r="J9" s="126"/>
      <c r="K9" s="126"/>
      <c r="L9" s="126"/>
      <c r="M9" s="127"/>
      <c r="N9" s="126"/>
      <c r="O9" s="126"/>
      <c r="P9" s="126"/>
      <c r="Q9" s="126"/>
      <c r="R9" s="127"/>
      <c r="S9" s="126">
        <f>0.64*F9</f>
        <v>196093.44</v>
      </c>
      <c r="T9" s="126">
        <f>12786.29*G9</f>
        <v>166221.77000000002</v>
      </c>
      <c r="U9" s="126">
        <f>0.26*Padron!$C$14</f>
        <v>1301259.44</v>
      </c>
      <c r="V9" s="127">
        <f t="shared" si="0"/>
        <v>362315.21</v>
      </c>
      <c r="W9" s="127"/>
    </row>
    <row r="10" spans="1:23">
      <c r="B10" s="94"/>
      <c r="C10" s="94"/>
      <c r="D10" s="94"/>
      <c r="E10" s="94"/>
      <c r="F10" s="94"/>
      <c r="G10" s="94"/>
      <c r="H10" s="94"/>
      <c r="I10" s="126"/>
      <c r="J10" s="126"/>
      <c r="K10" s="126"/>
      <c r="L10" s="126"/>
      <c r="M10" s="127"/>
      <c r="N10" s="126"/>
      <c r="O10" s="126"/>
      <c r="P10" s="126"/>
      <c r="Q10" s="126"/>
      <c r="R10" s="127"/>
      <c r="S10" s="126"/>
      <c r="T10" s="126"/>
      <c r="U10" s="126"/>
      <c r="V10" s="126"/>
      <c r="W10" s="127"/>
    </row>
    <row r="11" spans="1:23">
      <c r="B11" s="94"/>
      <c r="C11" s="94"/>
      <c r="D11" s="94"/>
      <c r="E11" s="94"/>
      <c r="F11" s="97" t="s">
        <v>94</v>
      </c>
      <c r="G11" s="94"/>
      <c r="H11" s="94"/>
      <c r="M11" s="127"/>
      <c r="R11" s="127"/>
      <c r="W11" s="127"/>
    </row>
    <row r="12" spans="1:23">
      <c r="B12" s="94"/>
      <c r="C12" s="94"/>
      <c r="D12" s="94"/>
      <c r="E12" s="94"/>
      <c r="F12" s="94" t="s">
        <v>235</v>
      </c>
      <c r="G12" s="94"/>
      <c r="H12" s="94"/>
    </row>
    <row r="13" spans="1:23">
      <c r="A13" t="s">
        <v>136</v>
      </c>
      <c r="B13" s="94" t="s">
        <v>218</v>
      </c>
      <c r="C13" s="94"/>
      <c r="D13" s="94"/>
      <c r="E13" s="94"/>
      <c r="F13" s="94"/>
      <c r="G13" s="94"/>
      <c r="H13" s="94"/>
    </row>
    <row r="14" spans="1:23">
      <c r="A14">
        <v>2007</v>
      </c>
      <c r="B14" s="94" t="s">
        <v>224</v>
      </c>
      <c r="C14" s="94"/>
      <c r="D14" s="94"/>
      <c r="E14" s="94"/>
      <c r="F14" s="94"/>
      <c r="G14" s="94"/>
      <c r="H14" s="94"/>
    </row>
    <row r="15" spans="1:23">
      <c r="A15">
        <v>2011</v>
      </c>
      <c r="B15" t="s">
        <v>222</v>
      </c>
    </row>
    <row r="16" spans="1:23">
      <c r="A16">
        <v>2015</v>
      </c>
      <c r="B16" t="s">
        <v>223</v>
      </c>
    </row>
  </sheetData>
  <mergeCells count="6">
    <mergeCell ref="S1:V1"/>
    <mergeCell ref="B1:C1"/>
    <mergeCell ref="D1:E1"/>
    <mergeCell ref="F1:G1"/>
    <mergeCell ref="I1:L1"/>
    <mergeCell ref="N1:Q1"/>
  </mergeCells>
  <hyperlinks>
    <hyperlink ref="F1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opLeftCell="A11" workbookViewId="0">
      <selection activeCell="F46" sqref="F46"/>
    </sheetView>
  </sheetViews>
  <sheetFormatPr baseColWidth="10" defaultRowHeight="15" x14ac:dyDescent="0"/>
  <cols>
    <col min="1" max="1" width="32.5" customWidth="1"/>
    <col min="2" max="2" width="21.1640625" customWidth="1"/>
    <col min="5" max="6" width="19.33203125" customWidth="1"/>
    <col min="7" max="7" width="25.5" customWidth="1"/>
    <col min="8" max="8" width="19.33203125" bestFit="1" customWidth="1"/>
    <col min="9" max="9" width="20.6640625" customWidth="1"/>
    <col min="10" max="10" width="21.1640625" customWidth="1"/>
    <col min="11" max="11" width="14.1640625" customWidth="1"/>
    <col min="12" max="12" width="27.83203125" customWidth="1"/>
    <col min="13" max="13" width="44.1640625" customWidth="1"/>
    <col min="14" max="14" width="58.5" customWidth="1"/>
  </cols>
  <sheetData>
    <row r="1" spans="1:14">
      <c r="C1" s="183" t="s">
        <v>27</v>
      </c>
      <c r="D1" s="185"/>
      <c r="E1" s="184"/>
      <c r="F1" s="183" t="s">
        <v>26</v>
      </c>
      <c r="G1" s="184"/>
      <c r="H1" s="181" t="s">
        <v>3</v>
      </c>
      <c r="I1" s="166"/>
      <c r="J1" s="166"/>
      <c r="K1" s="182"/>
      <c r="L1" s="2"/>
      <c r="M1" s="181" t="s">
        <v>28</v>
      </c>
      <c r="N1" s="182"/>
    </row>
    <row r="2" spans="1:14">
      <c r="B2" s="1" t="s">
        <v>77</v>
      </c>
      <c r="C2" s="22" t="s">
        <v>1</v>
      </c>
      <c r="D2" s="21" t="s">
        <v>2</v>
      </c>
      <c r="E2" s="20" t="s">
        <v>9</v>
      </c>
      <c r="F2" s="23" t="s">
        <v>10</v>
      </c>
      <c r="G2" s="29" t="s">
        <v>9</v>
      </c>
      <c r="H2" s="25" t="s">
        <v>4</v>
      </c>
      <c r="I2" s="27" t="s">
        <v>5</v>
      </c>
      <c r="J2" s="26" t="s">
        <v>6</v>
      </c>
      <c r="K2" s="27"/>
      <c r="L2" s="24" t="s">
        <v>17</v>
      </c>
      <c r="M2" s="28" t="s">
        <v>21</v>
      </c>
      <c r="N2" s="28" t="s">
        <v>22</v>
      </c>
    </row>
    <row r="3" spans="1:14" s="3" customFormat="1">
      <c r="A3" s="66" t="s">
        <v>0</v>
      </c>
      <c r="C3" s="30">
        <v>20380.8</v>
      </c>
      <c r="D3" s="11">
        <v>1.0439419999999999</v>
      </c>
      <c r="E3" s="31" t="s">
        <v>16</v>
      </c>
      <c r="F3" s="155" t="s">
        <v>125</v>
      </c>
      <c r="G3" s="156"/>
      <c r="H3" s="61">
        <v>0.52027500000000004</v>
      </c>
      <c r="I3" s="78">
        <v>6454440</v>
      </c>
      <c r="J3" s="82">
        <f>I3*H3</f>
        <v>3358083.7710000002</v>
      </c>
      <c r="K3" s="32"/>
      <c r="L3" s="45"/>
      <c r="M3" s="49" t="s">
        <v>19</v>
      </c>
      <c r="N3" s="32" t="s">
        <v>25</v>
      </c>
    </row>
    <row r="4" spans="1:14" s="4" customFormat="1">
      <c r="A4" s="160" t="s">
        <v>7</v>
      </c>
      <c r="B4" s="169"/>
      <c r="C4" s="172">
        <v>12610.62</v>
      </c>
      <c r="D4" s="175">
        <v>0.79</v>
      </c>
      <c r="E4" s="178" t="s">
        <v>8</v>
      </c>
      <c r="F4" s="189">
        <v>0.19</v>
      </c>
      <c r="G4" s="192" t="s">
        <v>11</v>
      </c>
      <c r="H4" s="199">
        <f>J4/I4</f>
        <v>0.58488726551627546</v>
      </c>
      <c r="I4" s="157">
        <v>224909</v>
      </c>
      <c r="J4" s="79">
        <v>131546.41</v>
      </c>
      <c r="K4" s="34" t="s">
        <v>12</v>
      </c>
      <c r="L4" s="46"/>
      <c r="M4" s="165" t="s">
        <v>20</v>
      </c>
      <c r="N4" s="34" t="s">
        <v>25</v>
      </c>
    </row>
    <row r="5" spans="1:14" s="5" customFormat="1">
      <c r="A5" s="161"/>
      <c r="B5" s="170"/>
      <c r="C5" s="173"/>
      <c r="D5" s="176"/>
      <c r="E5" s="179"/>
      <c r="F5" s="190"/>
      <c r="G5" s="190"/>
      <c r="H5" s="200"/>
      <c r="I5" s="158"/>
      <c r="J5" s="80">
        <v>83611.149999999994</v>
      </c>
      <c r="K5" s="36" t="s">
        <v>13</v>
      </c>
      <c r="L5" s="47"/>
      <c r="M5" s="163"/>
      <c r="N5" s="36"/>
    </row>
    <row r="6" spans="1:14" s="6" customFormat="1">
      <c r="A6" s="162"/>
      <c r="B6" s="171"/>
      <c r="C6" s="174"/>
      <c r="D6" s="177"/>
      <c r="E6" s="180"/>
      <c r="F6" s="191"/>
      <c r="G6" s="191"/>
      <c r="H6" s="201"/>
      <c r="I6" s="159"/>
      <c r="J6" s="81">
        <v>560134.93999999994</v>
      </c>
      <c r="K6" s="39" t="s">
        <v>14</v>
      </c>
      <c r="L6" s="48"/>
      <c r="M6" s="164"/>
      <c r="N6" s="39"/>
    </row>
    <row r="7" spans="1:14" s="3" customFormat="1">
      <c r="A7" s="66" t="s">
        <v>15</v>
      </c>
      <c r="C7" s="30">
        <v>15290.57</v>
      </c>
      <c r="D7" s="12">
        <v>0.77</v>
      </c>
      <c r="E7" s="32" t="s">
        <v>51</v>
      </c>
      <c r="F7" s="54"/>
      <c r="G7" s="10"/>
      <c r="H7" s="62">
        <v>0.33</v>
      </c>
      <c r="I7" s="69">
        <v>1061756</v>
      </c>
      <c r="J7" s="82">
        <f>H7*I7</f>
        <v>350379.48000000004</v>
      </c>
      <c r="K7" s="32"/>
      <c r="L7" s="68" t="s">
        <v>18</v>
      </c>
      <c r="M7" s="49" t="s">
        <v>24</v>
      </c>
      <c r="N7" s="50" t="s">
        <v>23</v>
      </c>
    </row>
    <row r="8" spans="1:14" s="4" customFormat="1">
      <c r="A8" s="160" t="s">
        <v>29</v>
      </c>
      <c r="B8" s="4" t="s">
        <v>31</v>
      </c>
      <c r="C8" s="33">
        <v>14551.4</v>
      </c>
      <c r="D8" s="13">
        <v>0.47993000000000002</v>
      </c>
      <c r="E8" s="34" t="s">
        <v>8</v>
      </c>
      <c r="F8" s="55">
        <v>0.18945000000000001</v>
      </c>
      <c r="G8" s="7" t="s">
        <v>35</v>
      </c>
      <c r="H8" s="63">
        <v>0.77041999999999999</v>
      </c>
      <c r="I8" s="193">
        <v>1103442</v>
      </c>
      <c r="J8" s="196">
        <f>I8*H8</f>
        <v>850113.78564000002</v>
      </c>
      <c r="K8" s="34"/>
      <c r="L8" s="46"/>
      <c r="M8" s="186" t="s">
        <v>30</v>
      </c>
      <c r="N8" s="34"/>
    </row>
    <row r="9" spans="1:14" s="5" customFormat="1">
      <c r="A9" s="161"/>
      <c r="B9" s="5" t="s">
        <v>32</v>
      </c>
      <c r="C9" s="35">
        <v>14551.4</v>
      </c>
      <c r="D9" s="14">
        <v>0.47993000000000002</v>
      </c>
      <c r="E9" s="36" t="s">
        <v>8</v>
      </c>
      <c r="F9" s="56">
        <v>0.18945000000000001</v>
      </c>
      <c r="G9" s="8" t="s">
        <v>35</v>
      </c>
      <c r="H9" s="64">
        <v>0.77041999999999999</v>
      </c>
      <c r="I9" s="194"/>
      <c r="J9" s="197"/>
      <c r="K9" s="36"/>
      <c r="L9" s="47"/>
      <c r="M9" s="187"/>
      <c r="N9" s="36"/>
    </row>
    <row r="10" spans="1:14" s="6" customFormat="1">
      <c r="A10" s="162"/>
      <c r="B10" s="6" t="s">
        <v>33</v>
      </c>
      <c r="C10" s="37" t="s">
        <v>76</v>
      </c>
      <c r="D10" s="15" t="s">
        <v>76</v>
      </c>
      <c r="E10" s="38" t="s">
        <v>76</v>
      </c>
      <c r="F10" s="19" t="s">
        <v>76</v>
      </c>
      <c r="G10" s="19" t="s">
        <v>76</v>
      </c>
      <c r="H10" s="64">
        <f>H8*1.5</f>
        <v>1.1556299999999999</v>
      </c>
      <c r="I10" s="195"/>
      <c r="J10" s="198"/>
      <c r="K10" s="39"/>
      <c r="L10" s="48"/>
      <c r="M10" s="188"/>
      <c r="N10" s="39" t="s">
        <v>34</v>
      </c>
    </row>
    <row r="11" spans="1:14" s="4" customFormat="1">
      <c r="A11" s="160" t="s">
        <v>36</v>
      </c>
      <c r="B11" s="166"/>
      <c r="C11" s="172">
        <v>20805.96</v>
      </c>
      <c r="D11" s="175">
        <v>0.77</v>
      </c>
      <c r="E11" s="178" t="s">
        <v>8</v>
      </c>
      <c r="F11" s="57"/>
      <c r="G11" s="7"/>
      <c r="H11" s="71">
        <f>J11/I11</f>
        <v>0.60664918032786885</v>
      </c>
      <c r="I11" s="75">
        <v>10675</v>
      </c>
      <c r="J11" s="79">
        <v>6475.98</v>
      </c>
      <c r="K11" s="34" t="s">
        <v>43</v>
      </c>
      <c r="L11" s="46"/>
      <c r="M11" s="165" t="s">
        <v>41</v>
      </c>
      <c r="N11" s="34"/>
    </row>
    <row r="12" spans="1:14" s="5" customFormat="1">
      <c r="A12" s="161"/>
      <c r="B12" s="167"/>
      <c r="C12" s="173"/>
      <c r="D12" s="176"/>
      <c r="E12" s="179"/>
      <c r="F12" s="58"/>
      <c r="G12" s="8"/>
      <c r="H12" s="72">
        <f t="shared" ref="H12:H17" si="0">J12/I12</f>
        <v>0.59</v>
      </c>
      <c r="I12" s="76">
        <v>106930</v>
      </c>
      <c r="J12" s="80">
        <v>63088.7</v>
      </c>
      <c r="K12" s="36" t="s">
        <v>44</v>
      </c>
      <c r="L12" s="47"/>
      <c r="M12" s="163"/>
      <c r="N12" s="36"/>
    </row>
    <row r="13" spans="1:14" s="5" customFormat="1">
      <c r="A13" s="161"/>
      <c r="B13" s="167"/>
      <c r="C13" s="173"/>
      <c r="D13" s="176"/>
      <c r="E13" s="179"/>
      <c r="F13" s="59">
        <v>0.1</v>
      </c>
      <c r="G13" s="8" t="s">
        <v>39</v>
      </c>
      <c r="H13" s="72">
        <f t="shared" si="0"/>
        <v>0.59</v>
      </c>
      <c r="I13" s="76">
        <v>851157</v>
      </c>
      <c r="J13" s="80">
        <v>502182.63</v>
      </c>
      <c r="K13" s="36" t="s">
        <v>45</v>
      </c>
      <c r="L13" s="47"/>
      <c r="M13" s="163"/>
      <c r="N13" s="36"/>
    </row>
    <row r="14" spans="1:14" s="5" customFormat="1">
      <c r="A14" s="161"/>
      <c r="B14" s="167"/>
      <c r="C14" s="173"/>
      <c r="D14" s="176"/>
      <c r="E14" s="179"/>
      <c r="F14" s="59">
        <v>0.13</v>
      </c>
      <c r="G14" s="8" t="s">
        <v>40</v>
      </c>
      <c r="H14" s="72">
        <f t="shared" si="0"/>
        <v>0.59</v>
      </c>
      <c r="I14" s="76">
        <v>20721</v>
      </c>
      <c r="J14" s="80">
        <v>12225.39</v>
      </c>
      <c r="K14" s="36" t="s">
        <v>46</v>
      </c>
      <c r="L14" s="47"/>
      <c r="M14" s="163"/>
      <c r="N14" s="36"/>
    </row>
    <row r="15" spans="1:14" s="5" customFormat="1">
      <c r="A15" s="161"/>
      <c r="B15" s="167"/>
      <c r="C15" s="173"/>
      <c r="D15" s="176"/>
      <c r="E15" s="179"/>
      <c r="F15" s="59">
        <v>0.17</v>
      </c>
      <c r="G15" s="8" t="s">
        <v>38</v>
      </c>
      <c r="H15" s="72">
        <f t="shared" si="0"/>
        <v>0.59000000000000008</v>
      </c>
      <c r="I15" s="76">
        <v>141940</v>
      </c>
      <c r="J15" s="80">
        <v>83744.600000000006</v>
      </c>
      <c r="K15" s="36" t="s">
        <v>47</v>
      </c>
      <c r="L15" s="47"/>
      <c r="M15" s="163" t="s">
        <v>42</v>
      </c>
      <c r="N15" s="36"/>
    </row>
    <row r="16" spans="1:14" s="5" customFormat="1">
      <c r="A16" s="161"/>
      <c r="B16" s="167"/>
      <c r="C16" s="173"/>
      <c r="D16" s="176"/>
      <c r="E16" s="179"/>
      <c r="F16" s="59">
        <v>0.19</v>
      </c>
      <c r="G16" s="8" t="s">
        <v>37</v>
      </c>
      <c r="H16" s="72">
        <f t="shared" si="0"/>
        <v>0.59</v>
      </c>
      <c r="I16" s="76">
        <v>83456</v>
      </c>
      <c r="J16" s="80">
        <v>49239.040000000001</v>
      </c>
      <c r="K16" s="36" t="s">
        <v>48</v>
      </c>
      <c r="L16" s="47"/>
      <c r="M16" s="163"/>
      <c r="N16" s="36"/>
    </row>
    <row r="17" spans="1:14" s="6" customFormat="1">
      <c r="A17" s="162"/>
      <c r="B17" s="168"/>
      <c r="C17" s="174"/>
      <c r="D17" s="177"/>
      <c r="E17" s="180"/>
      <c r="F17" s="19"/>
      <c r="G17" s="9"/>
      <c r="H17" s="73">
        <f t="shared" si="0"/>
        <v>0.59</v>
      </c>
      <c r="I17" s="74">
        <v>889936</v>
      </c>
      <c r="J17" s="81">
        <v>525062.24</v>
      </c>
      <c r="K17" s="39" t="s">
        <v>49</v>
      </c>
      <c r="L17" s="48"/>
      <c r="M17" s="164"/>
      <c r="N17" s="39"/>
    </row>
    <row r="18" spans="1:14" s="3" customFormat="1">
      <c r="A18" s="67" t="s">
        <v>50</v>
      </c>
      <c r="C18" s="30">
        <v>10867.6</v>
      </c>
      <c r="D18" s="12">
        <v>0.86</v>
      </c>
      <c r="E18" s="32" t="s">
        <v>8</v>
      </c>
      <c r="F18" s="54" t="s">
        <v>76</v>
      </c>
      <c r="G18" s="54" t="s">
        <v>76</v>
      </c>
      <c r="H18" s="70">
        <v>0.56999999999999995</v>
      </c>
      <c r="I18" s="69">
        <v>588656</v>
      </c>
      <c r="J18" s="82">
        <f>H18*I18</f>
        <v>335533.92</v>
      </c>
      <c r="K18" s="32"/>
      <c r="L18" s="45"/>
      <c r="M18" s="49" t="s">
        <v>52</v>
      </c>
      <c r="N18" s="32" t="s">
        <v>78</v>
      </c>
    </row>
    <row r="19" spans="1:14" s="4" customFormat="1">
      <c r="A19" s="160" t="s">
        <v>53</v>
      </c>
      <c r="C19" s="172">
        <v>12810.57</v>
      </c>
      <c r="D19" s="175">
        <v>0.6</v>
      </c>
      <c r="E19" s="178" t="s">
        <v>62</v>
      </c>
      <c r="F19" s="172">
        <v>0.17</v>
      </c>
      <c r="G19" s="209" t="s">
        <v>84</v>
      </c>
      <c r="H19" s="202">
        <v>0.47</v>
      </c>
      <c r="I19" s="75">
        <v>396987</v>
      </c>
      <c r="J19" s="79">
        <v>186583.89</v>
      </c>
      <c r="K19" s="34" t="s">
        <v>54</v>
      </c>
      <c r="L19" s="46"/>
      <c r="M19" s="51" t="s">
        <v>59</v>
      </c>
      <c r="N19" s="34" t="s">
        <v>78</v>
      </c>
    </row>
    <row r="20" spans="1:14" s="5" customFormat="1">
      <c r="A20" s="161"/>
      <c r="C20" s="205"/>
      <c r="D20" s="207"/>
      <c r="E20" s="179"/>
      <c r="F20" s="205"/>
      <c r="G20" s="210"/>
      <c r="H20" s="203"/>
      <c r="I20" s="76">
        <v>519613</v>
      </c>
      <c r="J20" s="80">
        <v>244218.11</v>
      </c>
      <c r="K20" s="36" t="s">
        <v>55</v>
      </c>
      <c r="L20" s="47"/>
      <c r="M20" s="41" t="s">
        <v>85</v>
      </c>
      <c r="N20" s="36" t="s">
        <v>78</v>
      </c>
    </row>
    <row r="21" spans="1:14" s="5" customFormat="1">
      <c r="A21" s="161"/>
      <c r="C21" s="205"/>
      <c r="D21" s="207"/>
      <c r="E21" s="179"/>
      <c r="F21" s="205"/>
      <c r="G21" s="210"/>
      <c r="H21" s="203"/>
      <c r="I21" s="76">
        <v>207449</v>
      </c>
      <c r="J21" s="80">
        <f>$H$19*I21</f>
        <v>97501.03</v>
      </c>
      <c r="K21" s="36" t="s">
        <v>56</v>
      </c>
      <c r="L21" s="47"/>
      <c r="M21" s="41"/>
      <c r="N21" s="36"/>
    </row>
    <row r="22" spans="1:14" s="5" customFormat="1">
      <c r="A22" s="161"/>
      <c r="C22" s="205"/>
      <c r="D22" s="207"/>
      <c r="E22" s="179"/>
      <c r="F22" s="205"/>
      <c r="G22" s="210"/>
      <c r="H22" s="203"/>
      <c r="I22" s="76">
        <v>255426</v>
      </c>
      <c r="J22" s="80">
        <f t="shared" ref="J22:J23" si="1">$H$19*I22</f>
        <v>120050.21999999999</v>
      </c>
      <c r="K22" s="36" t="s">
        <v>57</v>
      </c>
      <c r="L22" s="47"/>
      <c r="M22" s="41"/>
      <c r="N22" s="36"/>
    </row>
    <row r="23" spans="1:14" s="6" customFormat="1">
      <c r="A23" s="162"/>
      <c r="C23" s="206"/>
      <c r="D23" s="208"/>
      <c r="E23" s="180"/>
      <c r="F23" s="206"/>
      <c r="G23" s="211"/>
      <c r="H23" s="204"/>
      <c r="I23" s="74">
        <v>699136</v>
      </c>
      <c r="J23" s="81">
        <f t="shared" si="1"/>
        <v>328593.91999999998</v>
      </c>
      <c r="K23" s="39" t="s">
        <v>58</v>
      </c>
      <c r="L23" s="48"/>
      <c r="M23" s="42"/>
      <c r="N23" s="39"/>
    </row>
    <row r="24" spans="1:14" s="4" customFormat="1">
      <c r="A24" s="160" t="s">
        <v>60</v>
      </c>
      <c r="C24" s="172">
        <v>14304.09</v>
      </c>
      <c r="D24" s="175">
        <v>0.56999999999999995</v>
      </c>
      <c r="E24" s="178" t="s">
        <v>62</v>
      </c>
      <c r="F24" s="212" t="s">
        <v>76</v>
      </c>
      <c r="G24" s="209" t="s">
        <v>76</v>
      </c>
      <c r="H24" s="202">
        <v>0.56999999999999995</v>
      </c>
      <c r="I24" s="77">
        <f>J24/H24</f>
        <v>690929.00000000012</v>
      </c>
      <c r="J24" s="79">
        <v>393829.53</v>
      </c>
      <c r="K24" s="34" t="s">
        <v>63</v>
      </c>
      <c r="L24" s="46"/>
      <c r="M24" s="51" t="s">
        <v>61</v>
      </c>
      <c r="N24" s="34" t="s">
        <v>78</v>
      </c>
    </row>
    <row r="25" spans="1:14" s="6" customFormat="1">
      <c r="A25" s="162"/>
      <c r="C25" s="174"/>
      <c r="D25" s="177"/>
      <c r="E25" s="180"/>
      <c r="F25" s="206"/>
      <c r="G25" s="211"/>
      <c r="H25" s="204"/>
      <c r="I25" s="78">
        <f>J25/H24</f>
        <v>408703</v>
      </c>
      <c r="J25" s="81">
        <v>232960.71</v>
      </c>
      <c r="K25" s="39" t="s">
        <v>64</v>
      </c>
      <c r="L25" s="48"/>
      <c r="M25" s="42"/>
      <c r="N25" s="39"/>
    </row>
    <row r="26" spans="1:14" s="3" customFormat="1">
      <c r="A26" s="66" t="s">
        <v>65</v>
      </c>
      <c r="C26" s="30">
        <v>11646.29</v>
      </c>
      <c r="D26" s="12">
        <v>0.92</v>
      </c>
      <c r="E26" s="32" t="s">
        <v>62</v>
      </c>
      <c r="F26" s="60">
        <v>0.23</v>
      </c>
      <c r="G26" s="10" t="s">
        <v>66</v>
      </c>
      <c r="H26" s="62">
        <v>0.61</v>
      </c>
      <c r="I26" s="69">
        <v>319002</v>
      </c>
      <c r="J26" s="82">
        <f>H26*I26</f>
        <v>194591.22</v>
      </c>
      <c r="K26" s="32"/>
      <c r="L26" s="45"/>
      <c r="M26" s="44"/>
      <c r="N26" s="32"/>
    </row>
    <row r="27" spans="1:14" s="3" customFormat="1">
      <c r="A27" s="66" t="s">
        <v>67</v>
      </c>
      <c r="C27" s="30">
        <v>11223.36</v>
      </c>
      <c r="D27" s="12">
        <v>0.59</v>
      </c>
      <c r="E27" s="32" t="s">
        <v>62</v>
      </c>
      <c r="F27" s="60">
        <v>0.25</v>
      </c>
      <c r="G27" s="10" t="s">
        <v>69</v>
      </c>
      <c r="H27" s="62">
        <v>0.44</v>
      </c>
      <c r="I27" s="69">
        <v>1466818</v>
      </c>
      <c r="J27" s="82">
        <f>H27*I27</f>
        <v>645399.92000000004</v>
      </c>
      <c r="K27" s="32"/>
      <c r="L27" s="45"/>
      <c r="M27" s="52" t="s">
        <v>68</v>
      </c>
      <c r="N27" s="32" t="s">
        <v>78</v>
      </c>
    </row>
    <row r="28" spans="1:14" s="4" customFormat="1">
      <c r="A28" s="160" t="s">
        <v>70</v>
      </c>
      <c r="C28" s="172">
        <v>12786.29</v>
      </c>
      <c r="D28" s="17">
        <v>0.64</v>
      </c>
      <c r="E28" s="34" t="s">
        <v>62</v>
      </c>
      <c r="F28" s="57"/>
      <c r="G28" s="7"/>
      <c r="H28" s="202">
        <v>0.26</v>
      </c>
      <c r="I28" s="77">
        <f>J28/H28</f>
        <v>1868438</v>
      </c>
      <c r="J28" s="79">
        <v>485793.88</v>
      </c>
      <c r="K28" s="34" t="s">
        <v>72</v>
      </c>
      <c r="L28" s="46"/>
      <c r="M28" s="43"/>
      <c r="N28" s="34"/>
    </row>
    <row r="29" spans="1:14" s="5" customFormat="1">
      <c r="A29" s="161"/>
      <c r="C29" s="173"/>
      <c r="D29" s="18">
        <v>0.64</v>
      </c>
      <c r="E29" s="36" t="s">
        <v>71</v>
      </c>
      <c r="F29" s="58"/>
      <c r="G29" s="8"/>
      <c r="H29" s="203"/>
      <c r="I29" s="85">
        <f>J29/H28</f>
        <v>587507.99999999988</v>
      </c>
      <c r="J29" s="80">
        <v>152752.07999999999</v>
      </c>
      <c r="K29" s="36" t="s">
        <v>73</v>
      </c>
      <c r="L29" s="47"/>
      <c r="M29" s="53" t="s">
        <v>74</v>
      </c>
      <c r="N29" s="36" t="s">
        <v>78</v>
      </c>
    </row>
    <row r="30" spans="1:14" s="6" customFormat="1">
      <c r="A30" s="162"/>
      <c r="C30" s="174"/>
      <c r="D30" s="16"/>
      <c r="E30" s="39"/>
      <c r="F30" s="19"/>
      <c r="G30" s="9"/>
      <c r="H30" s="204"/>
      <c r="I30" s="78">
        <f>J30/H28</f>
        <v>2548898</v>
      </c>
      <c r="J30" s="81">
        <v>662713.48</v>
      </c>
      <c r="K30" s="39" t="s">
        <v>70</v>
      </c>
      <c r="L30" s="48"/>
      <c r="M30" s="42"/>
      <c r="N30" s="39"/>
    </row>
    <row r="31" spans="1:14" s="3" customFormat="1">
      <c r="A31" s="83" t="s">
        <v>75</v>
      </c>
      <c r="C31" s="87">
        <v>11850</v>
      </c>
      <c r="D31" s="12">
        <v>0.95</v>
      </c>
      <c r="E31" s="88" t="s">
        <v>62</v>
      </c>
      <c r="F31" s="60">
        <v>0.24</v>
      </c>
      <c r="G31" s="10" t="s">
        <v>62</v>
      </c>
      <c r="H31" s="90">
        <f>J31/I31</f>
        <v>0.63203233508637779</v>
      </c>
      <c r="I31" s="69">
        <v>640790</v>
      </c>
      <c r="J31" s="89">
        <v>405000</v>
      </c>
      <c r="K31" s="32"/>
      <c r="L31" s="45"/>
      <c r="M31" s="44" t="s">
        <v>83</v>
      </c>
      <c r="N31" s="32" t="s">
        <v>78</v>
      </c>
    </row>
    <row r="32" spans="1:14" s="3" customFormat="1">
      <c r="A32" s="83" t="s">
        <v>80</v>
      </c>
      <c r="C32" s="40">
        <v>10205.620000000001</v>
      </c>
      <c r="D32" s="12">
        <v>0.4</v>
      </c>
      <c r="E32" s="88" t="s">
        <v>62</v>
      </c>
      <c r="F32" s="60">
        <v>0.19</v>
      </c>
      <c r="G32" s="10" t="s">
        <v>81</v>
      </c>
      <c r="H32" s="65">
        <v>0.38</v>
      </c>
      <c r="I32" s="69">
        <v>2494790</v>
      </c>
      <c r="J32" s="84">
        <f>H32*I32*1.25</f>
        <v>1185025.25</v>
      </c>
      <c r="K32" s="32"/>
      <c r="L32" s="86"/>
      <c r="M32" s="44" t="s">
        <v>79</v>
      </c>
      <c r="N32" s="32" t="s">
        <v>78</v>
      </c>
    </row>
    <row r="34" spans="1:6">
      <c r="A34" t="s">
        <v>82</v>
      </c>
    </row>
    <row r="36" spans="1:6">
      <c r="A36" t="s">
        <v>86</v>
      </c>
      <c r="B36" t="s">
        <v>87</v>
      </c>
    </row>
    <row r="37" spans="1:6">
      <c r="A37" t="s">
        <v>105</v>
      </c>
      <c r="B37" t="s">
        <v>106</v>
      </c>
    </row>
    <row r="38" spans="1:6">
      <c r="A38" t="s">
        <v>134</v>
      </c>
      <c r="B38" t="s">
        <v>135</v>
      </c>
    </row>
    <row r="39" spans="1:6">
      <c r="A39" t="s">
        <v>98</v>
      </c>
      <c r="B39" s="98" t="s">
        <v>99</v>
      </c>
    </row>
    <row r="40" spans="1:6">
      <c r="A40" t="s">
        <v>139</v>
      </c>
      <c r="B40" t="s">
        <v>140</v>
      </c>
    </row>
    <row r="43" spans="1:6">
      <c r="A43" t="s">
        <v>160</v>
      </c>
      <c r="B43" t="s">
        <v>161</v>
      </c>
      <c r="F43" t="s">
        <v>260</v>
      </c>
    </row>
    <row r="44" spans="1:6">
      <c r="A44" t="s">
        <v>162</v>
      </c>
      <c r="B44" t="s">
        <v>163</v>
      </c>
      <c r="F44" t="s">
        <v>261</v>
      </c>
    </row>
    <row r="45" spans="1:6">
      <c r="A45" t="s">
        <v>159</v>
      </c>
      <c r="B45" t="s">
        <v>153</v>
      </c>
      <c r="F45" t="s">
        <v>262</v>
      </c>
    </row>
    <row r="46" spans="1:6">
      <c r="A46" t="s">
        <v>157</v>
      </c>
      <c r="B46" t="s">
        <v>158</v>
      </c>
    </row>
    <row r="47" spans="1:6">
      <c r="A47" t="s">
        <v>154</v>
      </c>
      <c r="B47" t="s">
        <v>155</v>
      </c>
      <c r="F47" t="s">
        <v>156</v>
      </c>
    </row>
  </sheetData>
  <mergeCells count="43">
    <mergeCell ref="H28:H30"/>
    <mergeCell ref="C19:C23"/>
    <mergeCell ref="D19:D23"/>
    <mergeCell ref="E19:E23"/>
    <mergeCell ref="F19:F23"/>
    <mergeCell ref="G19:G23"/>
    <mergeCell ref="F24:F25"/>
    <mergeCell ref="G24:G25"/>
    <mergeCell ref="H19:H23"/>
    <mergeCell ref="D24:D25"/>
    <mergeCell ref="E24:E25"/>
    <mergeCell ref="H24:H25"/>
    <mergeCell ref="A28:A30"/>
    <mergeCell ref="A24:A25"/>
    <mergeCell ref="A19:A23"/>
    <mergeCell ref="C28:C30"/>
    <mergeCell ref="C24:C25"/>
    <mergeCell ref="H1:K1"/>
    <mergeCell ref="F1:G1"/>
    <mergeCell ref="C1:E1"/>
    <mergeCell ref="M1:N1"/>
    <mergeCell ref="A8:A10"/>
    <mergeCell ref="M8:M10"/>
    <mergeCell ref="M4:M6"/>
    <mergeCell ref="A4:A6"/>
    <mergeCell ref="C4:C6"/>
    <mergeCell ref="D4:D6"/>
    <mergeCell ref="E4:E6"/>
    <mergeCell ref="F4:F6"/>
    <mergeCell ref="G4:G6"/>
    <mergeCell ref="I8:I10"/>
    <mergeCell ref="J8:J10"/>
    <mergeCell ref="H4:H6"/>
    <mergeCell ref="F3:G3"/>
    <mergeCell ref="I4:I6"/>
    <mergeCell ref="A11:A17"/>
    <mergeCell ref="M15:M17"/>
    <mergeCell ref="M11:M14"/>
    <mergeCell ref="B11:B17"/>
    <mergeCell ref="B4:B6"/>
    <mergeCell ref="C11:C17"/>
    <mergeCell ref="D11:D17"/>
    <mergeCell ref="E11:E17"/>
  </mergeCells>
  <hyperlinks>
    <hyperlink ref="M3" r:id="rId1"/>
    <hyperlink ref="M4" r:id="rId2"/>
    <hyperlink ref="M7" r:id="rId3"/>
    <hyperlink ref="M8" r:id="rId4"/>
    <hyperlink ref="M11" r:id="rId5"/>
    <hyperlink ref="M15" r:id="rId6"/>
    <hyperlink ref="M18" r:id="rId7"/>
    <hyperlink ref="M27" r:id="rId8"/>
    <hyperlink ref="M29" r:id="rId9"/>
    <hyperlink ref="B39" r:id="rId10"/>
  </hyperlinks>
  <pageMargins left="0.75" right="0.75" top="1" bottom="1" header="0.5" footer="0.5"/>
  <pageSetup paperSize="9" orientation="portrait" horizontalDpi="4294967292" verticalDpi="4294967292"/>
  <legacyDrawing r:id="rId1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M1" sqref="M1:M1048576"/>
    </sheetView>
  </sheetViews>
  <sheetFormatPr baseColWidth="10" defaultRowHeight="15" x14ac:dyDescent="0"/>
  <cols>
    <col min="1" max="1" width="59.83203125" customWidth="1"/>
  </cols>
  <sheetData>
    <row r="1" spans="1:11">
      <c r="A1" s="100"/>
      <c r="B1" s="100" t="s">
        <v>107</v>
      </c>
      <c r="C1" s="100">
        <v>2014</v>
      </c>
      <c r="D1" s="100">
        <v>2013</v>
      </c>
      <c r="E1" s="100">
        <v>2012</v>
      </c>
      <c r="F1" s="101">
        <v>2011</v>
      </c>
      <c r="G1" s="101">
        <v>2010</v>
      </c>
      <c r="H1" s="102">
        <v>2009</v>
      </c>
      <c r="I1" s="102">
        <v>2008</v>
      </c>
      <c r="J1" s="102">
        <v>2007</v>
      </c>
      <c r="K1" s="102">
        <v>2006</v>
      </c>
    </row>
    <row r="2" spans="1:11">
      <c r="A2" s="103"/>
      <c r="B2" s="103"/>
      <c r="C2" s="103"/>
      <c r="D2" s="103"/>
      <c r="E2" s="103"/>
      <c r="F2" s="103"/>
      <c r="G2" s="103"/>
      <c r="H2" s="104"/>
      <c r="I2" s="105"/>
      <c r="J2" s="105"/>
      <c r="K2" s="106"/>
    </row>
    <row r="3" spans="1:11">
      <c r="A3" s="107" t="s">
        <v>108</v>
      </c>
      <c r="B3" s="108">
        <v>46600949</v>
      </c>
      <c r="C3" s="109">
        <v>46771341</v>
      </c>
      <c r="D3" s="109">
        <v>47129783</v>
      </c>
      <c r="E3" s="109">
        <v>47265321</v>
      </c>
      <c r="F3" s="109">
        <v>47190493</v>
      </c>
      <c r="G3" s="109">
        <v>47021031</v>
      </c>
      <c r="H3" s="110">
        <v>46745807</v>
      </c>
      <c r="I3" s="109">
        <v>46157822</v>
      </c>
      <c r="J3" s="111">
        <v>45200737</v>
      </c>
      <c r="K3" s="112">
        <v>44708964</v>
      </c>
    </row>
    <row r="4" spans="1:11">
      <c r="A4" s="107"/>
      <c r="B4" s="113"/>
      <c r="C4" s="105"/>
      <c r="D4" s="105"/>
      <c r="E4" s="105"/>
      <c r="F4" s="105"/>
      <c r="G4" s="105"/>
      <c r="H4" s="110"/>
      <c r="I4" s="109"/>
      <c r="J4" s="114"/>
      <c r="K4" s="112"/>
    </row>
    <row r="5" spans="1:11">
      <c r="A5" s="107" t="s">
        <v>109</v>
      </c>
      <c r="B5" s="108">
        <v>8393252</v>
      </c>
      <c r="C5" s="109">
        <v>8402305</v>
      </c>
      <c r="D5" s="109">
        <v>8440300</v>
      </c>
      <c r="E5" s="109">
        <v>8449985</v>
      </c>
      <c r="F5" s="109">
        <v>8424102</v>
      </c>
      <c r="G5" s="109">
        <v>8370975</v>
      </c>
      <c r="H5" s="111">
        <v>8302923</v>
      </c>
      <c r="I5" s="115">
        <v>8202220</v>
      </c>
      <c r="J5" s="111">
        <v>8059461</v>
      </c>
      <c r="K5" s="116">
        <v>7975672</v>
      </c>
    </row>
    <row r="6" spans="1:11">
      <c r="A6" s="107" t="s">
        <v>7</v>
      </c>
      <c r="B6" s="108">
        <v>1317504</v>
      </c>
      <c r="C6" s="109">
        <v>1325385</v>
      </c>
      <c r="D6" s="109">
        <v>1347150</v>
      </c>
      <c r="E6" s="109">
        <v>1349467</v>
      </c>
      <c r="F6" s="109">
        <v>1346293</v>
      </c>
      <c r="G6" s="109">
        <v>1347095</v>
      </c>
      <c r="H6" s="111">
        <v>1345473</v>
      </c>
      <c r="I6" s="115">
        <v>1326918</v>
      </c>
      <c r="J6" s="111">
        <v>1296655</v>
      </c>
      <c r="K6" s="116">
        <v>1277471</v>
      </c>
    </row>
    <row r="7" spans="1:11">
      <c r="A7" s="107" t="s">
        <v>110</v>
      </c>
      <c r="B7" s="108">
        <v>1050917</v>
      </c>
      <c r="C7" s="109">
        <v>1061756</v>
      </c>
      <c r="D7" s="109">
        <v>1068165</v>
      </c>
      <c r="E7" s="109">
        <v>1077360</v>
      </c>
      <c r="F7" s="109">
        <v>1081487</v>
      </c>
      <c r="G7" s="109">
        <v>1084341</v>
      </c>
      <c r="H7" s="111">
        <v>1085289</v>
      </c>
      <c r="I7" s="115">
        <v>1080138</v>
      </c>
      <c r="J7" s="111">
        <v>1074862</v>
      </c>
      <c r="K7" s="116">
        <v>1076896</v>
      </c>
    </row>
    <row r="8" spans="1:11">
      <c r="A8" s="107" t="s">
        <v>111</v>
      </c>
      <c r="B8" s="108">
        <v>1103959</v>
      </c>
      <c r="C8" s="109">
        <v>1103442</v>
      </c>
      <c r="D8" s="109">
        <v>1111674</v>
      </c>
      <c r="E8" s="109">
        <v>1119439</v>
      </c>
      <c r="F8" s="109">
        <v>1113114</v>
      </c>
      <c r="G8" s="109">
        <v>1106049</v>
      </c>
      <c r="H8" s="111">
        <v>1095426</v>
      </c>
      <c r="I8" s="115">
        <v>1072844</v>
      </c>
      <c r="J8" s="111">
        <v>1030650</v>
      </c>
      <c r="K8" s="116">
        <v>1001062</v>
      </c>
    </row>
    <row r="9" spans="1:11">
      <c r="A9" s="107" t="s">
        <v>36</v>
      </c>
      <c r="B9" s="108">
        <v>2098649</v>
      </c>
      <c r="C9" s="109">
        <v>2104815</v>
      </c>
      <c r="D9" s="109">
        <v>2118679</v>
      </c>
      <c r="E9" s="109">
        <v>2118344</v>
      </c>
      <c r="F9" s="109">
        <v>2126769</v>
      </c>
      <c r="G9" s="109">
        <v>2118519</v>
      </c>
      <c r="H9" s="111">
        <v>2103992</v>
      </c>
      <c r="I9" s="115">
        <v>2075968</v>
      </c>
      <c r="J9" s="111">
        <v>2025951</v>
      </c>
      <c r="K9" s="116">
        <v>1995833</v>
      </c>
    </row>
    <row r="10" spans="1:11">
      <c r="A10" s="107" t="s">
        <v>50</v>
      </c>
      <c r="B10" s="108">
        <v>584940</v>
      </c>
      <c r="C10" s="109">
        <v>588656</v>
      </c>
      <c r="D10" s="109">
        <v>591888</v>
      </c>
      <c r="E10" s="109">
        <v>593861</v>
      </c>
      <c r="F10" s="109">
        <v>593121</v>
      </c>
      <c r="G10" s="109">
        <v>592250</v>
      </c>
      <c r="H10" s="111">
        <v>589235</v>
      </c>
      <c r="I10" s="115">
        <v>582138</v>
      </c>
      <c r="J10" s="111">
        <v>572824</v>
      </c>
      <c r="K10" s="116">
        <v>568091</v>
      </c>
    </row>
    <row r="11" spans="1:11">
      <c r="A11" s="107" t="s">
        <v>112</v>
      </c>
      <c r="B11" s="108">
        <v>2058518</v>
      </c>
      <c r="C11" s="109">
        <v>2078611</v>
      </c>
      <c r="D11" s="109">
        <v>2100998</v>
      </c>
      <c r="E11" s="109">
        <v>2121888</v>
      </c>
      <c r="F11" s="109">
        <v>2115334</v>
      </c>
      <c r="G11" s="109">
        <v>2098373</v>
      </c>
      <c r="H11" s="111">
        <v>2081313</v>
      </c>
      <c r="I11" s="115">
        <v>2043100</v>
      </c>
      <c r="J11" s="111">
        <v>1977304</v>
      </c>
      <c r="K11" s="116">
        <v>1932261</v>
      </c>
    </row>
    <row r="12" spans="1:11">
      <c r="A12" s="107" t="s">
        <v>113</v>
      </c>
      <c r="B12" s="108">
        <v>2470741</v>
      </c>
      <c r="C12" s="109">
        <v>2494790</v>
      </c>
      <c r="D12" s="109">
        <v>2519875</v>
      </c>
      <c r="E12" s="109">
        <v>2546078</v>
      </c>
      <c r="F12" s="109">
        <v>2558463</v>
      </c>
      <c r="G12" s="109">
        <v>2559515</v>
      </c>
      <c r="H12" s="111">
        <v>2563521</v>
      </c>
      <c r="I12" s="115">
        <v>2557330</v>
      </c>
      <c r="J12" s="111">
        <v>2528417</v>
      </c>
      <c r="K12" s="116">
        <v>2523020</v>
      </c>
    </row>
    <row r="13" spans="1:11">
      <c r="A13" s="107" t="s">
        <v>114</v>
      </c>
      <c r="B13" s="108">
        <v>7504008</v>
      </c>
      <c r="C13" s="109">
        <v>7518903</v>
      </c>
      <c r="D13" s="109">
        <v>7553650</v>
      </c>
      <c r="E13" s="109">
        <v>7570908</v>
      </c>
      <c r="F13" s="109">
        <v>7539618</v>
      </c>
      <c r="G13" s="109">
        <v>7512381</v>
      </c>
      <c r="H13" s="111">
        <v>7475420</v>
      </c>
      <c r="I13" s="115">
        <v>7364078</v>
      </c>
      <c r="J13" s="111">
        <v>7210508</v>
      </c>
      <c r="K13" s="116">
        <v>7134697</v>
      </c>
    </row>
    <row r="14" spans="1:11">
      <c r="A14" s="107" t="s">
        <v>115</v>
      </c>
      <c r="B14" s="108">
        <v>4977171</v>
      </c>
      <c r="C14" s="109">
        <v>5004844</v>
      </c>
      <c r="D14" s="109">
        <v>5113815</v>
      </c>
      <c r="E14" s="109">
        <v>5129266</v>
      </c>
      <c r="F14" s="109">
        <v>5117190</v>
      </c>
      <c r="G14" s="109">
        <v>5111706</v>
      </c>
      <c r="H14" s="111">
        <v>5094675</v>
      </c>
      <c r="I14" s="115">
        <v>5029601</v>
      </c>
      <c r="J14" s="111">
        <v>4885029</v>
      </c>
      <c r="K14" s="116">
        <v>4806908</v>
      </c>
    </row>
    <row r="15" spans="1:11">
      <c r="A15" s="107" t="s">
        <v>60</v>
      </c>
      <c r="B15" s="108">
        <v>1092056</v>
      </c>
      <c r="C15" s="109">
        <v>1099632</v>
      </c>
      <c r="D15" s="109">
        <v>1104004</v>
      </c>
      <c r="E15" s="109">
        <v>1108130</v>
      </c>
      <c r="F15" s="109">
        <v>1109367</v>
      </c>
      <c r="G15" s="109">
        <v>1107220</v>
      </c>
      <c r="H15" s="111">
        <v>1102410</v>
      </c>
      <c r="I15" s="115">
        <v>1097744</v>
      </c>
      <c r="J15" s="111">
        <v>1089990</v>
      </c>
      <c r="K15" s="116">
        <v>1086373</v>
      </c>
    </row>
    <row r="16" spans="1:11">
      <c r="A16" s="107" t="s">
        <v>116</v>
      </c>
      <c r="B16" s="108">
        <v>2731406</v>
      </c>
      <c r="C16" s="109">
        <v>2748695</v>
      </c>
      <c r="D16" s="109">
        <v>2765940</v>
      </c>
      <c r="E16" s="109">
        <v>2781498</v>
      </c>
      <c r="F16" s="109">
        <v>2795422</v>
      </c>
      <c r="G16" s="109">
        <v>2797653</v>
      </c>
      <c r="H16" s="111">
        <v>2796089</v>
      </c>
      <c r="I16" s="115">
        <v>2784169</v>
      </c>
      <c r="J16" s="111">
        <v>2772533</v>
      </c>
      <c r="K16" s="116">
        <v>2767524</v>
      </c>
    </row>
    <row r="17" spans="1:11">
      <c r="A17" s="107" t="s">
        <v>117</v>
      </c>
      <c r="B17" s="108">
        <v>6435152</v>
      </c>
      <c r="C17" s="109">
        <v>6454440</v>
      </c>
      <c r="D17" s="109">
        <v>6495551</v>
      </c>
      <c r="E17" s="109">
        <v>6498560</v>
      </c>
      <c r="F17" s="109">
        <v>6489680</v>
      </c>
      <c r="G17" s="109">
        <v>6458684</v>
      </c>
      <c r="H17" s="111">
        <v>6386932</v>
      </c>
      <c r="I17" s="115">
        <v>6271638</v>
      </c>
      <c r="J17" s="111">
        <v>6081689</v>
      </c>
      <c r="K17" s="116">
        <v>6008183</v>
      </c>
    </row>
    <row r="18" spans="1:11">
      <c r="A18" s="107" t="s">
        <v>118</v>
      </c>
      <c r="B18" s="108">
        <v>1467049</v>
      </c>
      <c r="C18" s="109">
        <v>1466818</v>
      </c>
      <c r="D18" s="109">
        <v>1472049</v>
      </c>
      <c r="E18" s="109">
        <v>1474449</v>
      </c>
      <c r="F18" s="109">
        <v>1470069</v>
      </c>
      <c r="G18" s="109">
        <v>1461979</v>
      </c>
      <c r="H18" s="117">
        <v>1446520</v>
      </c>
      <c r="I18" s="115">
        <v>1426109</v>
      </c>
      <c r="J18" s="111">
        <v>1392117</v>
      </c>
      <c r="K18" s="116">
        <v>1370306</v>
      </c>
    </row>
    <row r="19" spans="1:11">
      <c r="A19" s="107" t="s">
        <v>119</v>
      </c>
      <c r="B19" s="108">
        <v>640154</v>
      </c>
      <c r="C19" s="109">
        <v>640790</v>
      </c>
      <c r="D19" s="109">
        <v>644477</v>
      </c>
      <c r="E19" s="109">
        <v>644566</v>
      </c>
      <c r="F19" s="109">
        <v>642051</v>
      </c>
      <c r="G19" s="109">
        <v>636924</v>
      </c>
      <c r="H19" s="111">
        <v>630578</v>
      </c>
      <c r="I19" s="115">
        <v>620377</v>
      </c>
      <c r="J19" s="111">
        <v>605876</v>
      </c>
      <c r="K19" s="116">
        <v>601874</v>
      </c>
    </row>
    <row r="20" spans="1:11">
      <c r="A20" s="107" t="s">
        <v>120</v>
      </c>
      <c r="B20" s="108">
        <v>2188895</v>
      </c>
      <c r="C20" s="109">
        <v>2188985</v>
      </c>
      <c r="D20" s="109">
        <v>2191682</v>
      </c>
      <c r="E20" s="109">
        <v>2193093</v>
      </c>
      <c r="F20" s="109">
        <v>2184606</v>
      </c>
      <c r="G20" s="109">
        <v>2178339</v>
      </c>
      <c r="H20" s="117">
        <v>2172175</v>
      </c>
      <c r="I20" s="115">
        <v>2157112</v>
      </c>
      <c r="J20" s="111">
        <v>2141860</v>
      </c>
      <c r="K20" s="116">
        <v>2133684</v>
      </c>
    </row>
    <row r="21" spans="1:11">
      <c r="A21" s="107" t="s">
        <v>121</v>
      </c>
      <c r="B21" s="108">
        <v>316818</v>
      </c>
      <c r="C21" s="109">
        <v>319002</v>
      </c>
      <c r="D21" s="109">
        <v>322027</v>
      </c>
      <c r="E21" s="109">
        <v>323609</v>
      </c>
      <c r="F21" s="109">
        <v>322955</v>
      </c>
      <c r="G21" s="109">
        <v>322415</v>
      </c>
      <c r="H21" s="111">
        <v>321702</v>
      </c>
      <c r="I21" s="115">
        <v>317501</v>
      </c>
      <c r="J21" s="111">
        <v>308968</v>
      </c>
      <c r="K21" s="116">
        <v>306377</v>
      </c>
    </row>
    <row r="22" spans="1:11">
      <c r="A22" s="107"/>
      <c r="B22" s="118"/>
      <c r="C22" s="111"/>
      <c r="D22" s="111"/>
      <c r="E22" s="111"/>
      <c r="F22" s="111"/>
      <c r="G22" s="110"/>
      <c r="H22" s="111"/>
      <c r="I22" s="111"/>
      <c r="J22" s="104"/>
      <c r="K22" s="106"/>
    </row>
    <row r="23" spans="1:11">
      <c r="A23" s="107" t="s">
        <v>122</v>
      </c>
      <c r="B23" s="118"/>
      <c r="C23" s="117"/>
      <c r="D23" s="117"/>
      <c r="E23" s="117"/>
      <c r="F23" s="117"/>
      <c r="G23" s="110"/>
      <c r="H23" s="117"/>
      <c r="I23" s="117"/>
      <c r="J23" s="119"/>
      <c r="K23" s="106"/>
    </row>
    <row r="24" spans="1:11">
      <c r="A24" s="107" t="s">
        <v>123</v>
      </c>
      <c r="B24" s="108">
        <v>84263</v>
      </c>
      <c r="C24" s="109">
        <v>84963</v>
      </c>
      <c r="D24" s="109">
        <v>84180</v>
      </c>
      <c r="E24" s="109">
        <v>84018</v>
      </c>
      <c r="F24" s="109">
        <v>82376</v>
      </c>
      <c r="G24" s="109">
        <v>80579</v>
      </c>
      <c r="H24" s="111">
        <v>78674</v>
      </c>
      <c r="I24" s="115">
        <v>77389</v>
      </c>
      <c r="J24" s="117">
        <v>76603</v>
      </c>
      <c r="K24" s="120">
        <v>75861</v>
      </c>
    </row>
    <row r="25" spans="1:11">
      <c r="A25" s="107" t="s">
        <v>124</v>
      </c>
      <c r="B25" s="108">
        <v>85497</v>
      </c>
      <c r="C25" s="109">
        <v>84509</v>
      </c>
      <c r="D25" s="109">
        <v>83679</v>
      </c>
      <c r="E25" s="109">
        <v>80802</v>
      </c>
      <c r="F25" s="109">
        <v>78476</v>
      </c>
      <c r="G25" s="109">
        <v>76034</v>
      </c>
      <c r="H25" s="117">
        <v>73460</v>
      </c>
      <c r="I25" s="115">
        <v>71448</v>
      </c>
      <c r="J25" s="117">
        <v>69440</v>
      </c>
      <c r="K25" s="120">
        <v>66871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workbookViewId="0">
      <selection activeCell="E27" sqref="E27"/>
    </sheetView>
  </sheetViews>
  <sheetFormatPr baseColWidth="10" defaultRowHeight="15" x14ac:dyDescent="0"/>
  <cols>
    <col min="2" max="2" width="17.33203125" bestFit="1" customWidth="1"/>
    <col min="3" max="3" width="15.83203125" customWidth="1"/>
    <col min="5" max="5" width="13.83203125" bestFit="1" customWidth="1"/>
    <col min="6" max="6" width="12.83203125" style="99" bestFit="1" customWidth="1"/>
    <col min="7" max="7" width="16.1640625" style="99" customWidth="1"/>
    <col min="8" max="8" width="13.83203125" style="99" bestFit="1" customWidth="1"/>
    <col min="9" max="9" width="17.1640625" customWidth="1"/>
    <col min="14" max="15" width="13.83203125" bestFit="1" customWidth="1"/>
  </cols>
  <sheetData>
    <row r="1" spans="1:9">
      <c r="B1" t="s">
        <v>247</v>
      </c>
      <c r="C1" t="s">
        <v>263</v>
      </c>
      <c r="E1" t="s">
        <v>246</v>
      </c>
      <c r="F1" s="99" t="s">
        <v>248</v>
      </c>
      <c r="G1" s="147" t="s">
        <v>249</v>
      </c>
      <c r="H1" s="99">
        <v>133121.69</v>
      </c>
    </row>
    <row r="2" spans="1:9">
      <c r="A2" t="s">
        <v>226</v>
      </c>
      <c r="B2" s="123">
        <f>Madrid!P3</f>
        <v>3229342</v>
      </c>
      <c r="C2" s="126">
        <f>Padron!G17*0.37</f>
        <v>2389713.08</v>
      </c>
      <c r="F2" s="99">
        <f>Padron!G17*0.1</f>
        <v>645868.4</v>
      </c>
      <c r="G2" s="146">
        <v>1</v>
      </c>
      <c r="H2" s="99">
        <f t="shared" ref="H2:H13" si="0">F2+G2*$H$1</f>
        <v>778990.09000000008</v>
      </c>
      <c r="I2" s="99"/>
    </row>
    <row r="3" spans="1:9">
      <c r="A3" t="s">
        <v>7</v>
      </c>
      <c r="B3" s="123">
        <f>Aragón!Q4</f>
        <v>775292.5</v>
      </c>
      <c r="C3" s="126">
        <f>Padron!G6*0.37</f>
        <v>498425.14999999997</v>
      </c>
      <c r="F3" s="99">
        <f>Padron!G6*0.1</f>
        <v>134709.5</v>
      </c>
      <c r="G3" s="146">
        <v>3</v>
      </c>
      <c r="H3" s="99">
        <f t="shared" si="0"/>
        <v>534074.57000000007</v>
      </c>
      <c r="I3" s="99"/>
    </row>
    <row r="4" spans="1:9">
      <c r="A4" t="s">
        <v>15</v>
      </c>
      <c r="B4" s="127">
        <f>Asturias!R3</f>
        <v>665209.89</v>
      </c>
      <c r="C4" s="126">
        <f>Padron!G7*0.37</f>
        <v>401206.17</v>
      </c>
      <c r="F4" s="99">
        <f>Padron!G7*0.1</f>
        <v>108434.1</v>
      </c>
      <c r="G4" s="146">
        <v>1</v>
      </c>
      <c r="H4" s="99">
        <f t="shared" si="0"/>
        <v>241555.79</v>
      </c>
      <c r="I4" s="99"/>
    </row>
    <row r="5" spans="1:9">
      <c r="A5" t="s">
        <v>29</v>
      </c>
      <c r="B5" s="145">
        <f>Baleares!Q3</f>
        <v>511547.66250000003</v>
      </c>
      <c r="C5" s="126">
        <f>Padron!G8*0.37</f>
        <v>409238.13</v>
      </c>
      <c r="F5" s="99">
        <f>Padron!G8*0.1</f>
        <v>110604.90000000001</v>
      </c>
      <c r="G5" s="146">
        <v>1</v>
      </c>
      <c r="H5" s="99">
        <f t="shared" si="0"/>
        <v>243726.59000000003</v>
      </c>
      <c r="I5" s="99"/>
    </row>
    <row r="6" spans="1:9">
      <c r="A6" t="s">
        <v>36</v>
      </c>
      <c r="B6" s="127">
        <f>Canarias!Q3</f>
        <v>1239333.6200000001</v>
      </c>
      <c r="C6" s="126">
        <f>Padron!G9*0.37</f>
        <v>783852.03</v>
      </c>
      <c r="F6" s="99">
        <f>Padron!G9*0.1</f>
        <v>211851.90000000002</v>
      </c>
      <c r="G6" s="146">
        <v>2</v>
      </c>
      <c r="H6" s="99">
        <f t="shared" si="0"/>
        <v>478095.28</v>
      </c>
      <c r="I6" s="99"/>
    </row>
    <row r="7" spans="1:9">
      <c r="A7" t="s">
        <v>50</v>
      </c>
      <c r="B7" s="127">
        <f>Cantabria!P3</f>
        <v>312450.05000000005</v>
      </c>
      <c r="C7" s="126">
        <f>Padron!G10*0.37</f>
        <v>219132.5</v>
      </c>
      <c r="F7" s="99">
        <f>Padron!G10*0.1</f>
        <v>59225</v>
      </c>
      <c r="G7" s="146">
        <v>1</v>
      </c>
      <c r="H7" s="99">
        <f t="shared" si="0"/>
        <v>192346.69</v>
      </c>
      <c r="I7" s="99"/>
    </row>
    <row r="8" spans="1:9">
      <c r="A8" t="s">
        <v>250</v>
      </c>
      <c r="B8" s="127">
        <f>'Castilla La Mancha'!Q3</f>
        <v>976947.16999999993</v>
      </c>
      <c r="C8" s="126">
        <f>Padron!G11*0.37</f>
        <v>776398.01</v>
      </c>
      <c r="F8" s="99">
        <f>Padron!G11*0.1</f>
        <v>209837.30000000002</v>
      </c>
      <c r="G8" s="146">
        <v>5</v>
      </c>
      <c r="H8" s="99">
        <f t="shared" si="0"/>
        <v>875445.75</v>
      </c>
      <c r="I8" s="99"/>
    </row>
    <row r="9" spans="1:9">
      <c r="A9" t="s">
        <v>251</v>
      </c>
      <c r="B9" s="143">
        <f>'Castilla y León'!Q3</f>
        <v>972615.7</v>
      </c>
      <c r="C9" s="126">
        <f>Padron!G12*0.37</f>
        <v>947020.55</v>
      </c>
      <c r="F9" s="99">
        <f>Padron!G12*0.1</f>
        <v>255951.5</v>
      </c>
      <c r="G9" s="146">
        <v>9</v>
      </c>
      <c r="H9" s="123">
        <f t="shared" si="0"/>
        <v>1454046.71</v>
      </c>
      <c r="I9" s="99"/>
    </row>
    <row r="10" spans="1:9">
      <c r="A10" t="s">
        <v>60</v>
      </c>
      <c r="B10" s="145">
        <f>Extremadura!P3</f>
        <v>575754.4</v>
      </c>
      <c r="C10" s="126">
        <f>Padron!G15*0.37</f>
        <v>409671.4</v>
      </c>
      <c r="F10" s="99">
        <f>Padron!G15*0.1</f>
        <v>110722</v>
      </c>
      <c r="G10" s="146">
        <v>2</v>
      </c>
      <c r="H10" s="99">
        <f t="shared" si="0"/>
        <v>376965.38</v>
      </c>
      <c r="I10" s="99"/>
    </row>
    <row r="11" spans="1:9">
      <c r="A11" t="s">
        <v>65</v>
      </c>
      <c r="B11" s="127">
        <f>'La Rioja'!Q3</f>
        <v>187000.69999999998</v>
      </c>
      <c r="C11" s="126">
        <f>Padron!G21*0.37</f>
        <v>119293.55</v>
      </c>
      <c r="F11" s="99">
        <f>Padron!G21*0.1</f>
        <v>32241.5</v>
      </c>
      <c r="G11" s="146">
        <v>1</v>
      </c>
      <c r="H11" s="99">
        <f t="shared" si="0"/>
        <v>165363.19</v>
      </c>
    </row>
    <row r="12" spans="1:9">
      <c r="A12" t="s">
        <v>67</v>
      </c>
      <c r="B12" s="127">
        <f>Murcia!Q3</f>
        <v>628650.97</v>
      </c>
      <c r="C12" s="126">
        <f>Padron!G18*0.37</f>
        <v>540932.23</v>
      </c>
      <c r="F12" s="99">
        <f>Padron!G18*0.1</f>
        <v>146197.9</v>
      </c>
      <c r="G12" s="146">
        <v>1</v>
      </c>
      <c r="H12" s="99">
        <f t="shared" si="0"/>
        <v>279319.58999999997</v>
      </c>
    </row>
    <row r="13" spans="1:9">
      <c r="A13" t="s">
        <v>75</v>
      </c>
      <c r="B13" s="127">
        <f>Navarra!Q3</f>
        <v>389697</v>
      </c>
      <c r="C13" s="126">
        <f>Padron!G19*0.37</f>
        <v>235661.88</v>
      </c>
      <c r="F13" s="99">
        <f>Padron!G19*0.1</f>
        <v>63692.4</v>
      </c>
      <c r="G13" s="146">
        <v>1</v>
      </c>
      <c r="H13" s="99">
        <f t="shared" si="0"/>
        <v>196814.09</v>
      </c>
    </row>
    <row r="14" spans="1:9">
      <c r="A14" t="s">
        <v>70</v>
      </c>
      <c r="B14" s="127">
        <f>Valencia!P3</f>
        <v>1329043.56</v>
      </c>
      <c r="C14" s="126">
        <f>Padron!G14*0.37</f>
        <v>1891331.22</v>
      </c>
      <c r="F14" s="99">
        <v>511171</v>
      </c>
      <c r="G14" s="146">
        <v>3</v>
      </c>
      <c r="H14" s="99">
        <f>F14+G14*$H$1</f>
        <v>910536.07000000007</v>
      </c>
    </row>
    <row r="15" spans="1:9">
      <c r="B15" s="126"/>
      <c r="E15" t="s">
        <v>109</v>
      </c>
      <c r="F15" s="99">
        <v>837098</v>
      </c>
      <c r="G15" s="146">
        <v>8</v>
      </c>
      <c r="H15" s="123">
        <f>F15+G15*$H$1</f>
        <v>1902071.52</v>
      </c>
    </row>
    <row r="16" spans="1:9">
      <c r="B16" s="126"/>
      <c r="E16" t="s">
        <v>114</v>
      </c>
      <c r="F16" s="99">
        <v>704950.3</v>
      </c>
      <c r="G16" s="146">
        <v>2</v>
      </c>
      <c r="H16" s="123">
        <f>F16+G16*$H$1</f>
        <v>971193.68</v>
      </c>
    </row>
    <row r="17" spans="1:15">
      <c r="B17" s="126"/>
      <c r="E17" t="s">
        <v>116</v>
      </c>
      <c r="F17" s="99">
        <v>279765.3</v>
      </c>
      <c r="G17" s="146">
        <v>4</v>
      </c>
      <c r="H17" s="123">
        <f>F17+G17*$H$1</f>
        <v>812252.06</v>
      </c>
    </row>
    <row r="18" spans="1:15">
      <c r="B18" s="126"/>
      <c r="E18" t="s">
        <v>120</v>
      </c>
      <c r="F18" s="99">
        <v>216787.9</v>
      </c>
      <c r="G18" s="146">
        <v>3</v>
      </c>
      <c r="H18" s="123">
        <f>F18+G18*$H$1</f>
        <v>616152.97</v>
      </c>
    </row>
    <row r="21" spans="1:15">
      <c r="B21" s="99">
        <f>B2+B3+B4+B5+B6+B7+B8+H9+B10+B11+B12+B13+B14</f>
        <v>12274316.2325</v>
      </c>
      <c r="C21" t="s">
        <v>259</v>
      </c>
      <c r="N21" s="99"/>
    </row>
    <row r="22" spans="1:15">
      <c r="A22" s="99"/>
      <c r="B22" s="99">
        <f>SUM(C2:C14)*0.25</f>
        <v>2405468.9749999996</v>
      </c>
      <c r="C22" t="s">
        <v>252</v>
      </c>
      <c r="N22" s="99"/>
    </row>
    <row r="23" spans="1:15">
      <c r="B23" s="99">
        <f>B21+B22</f>
        <v>14679785.2075</v>
      </c>
      <c r="C23" t="s">
        <v>6</v>
      </c>
      <c r="G23" s="99" t="s">
        <v>258</v>
      </c>
      <c r="H23" s="99">
        <f>SUM(H15:H18)</f>
        <v>4301670.2300000004</v>
      </c>
      <c r="N23" s="99"/>
    </row>
    <row r="24" spans="1:15">
      <c r="N24" s="99"/>
      <c r="O24" s="99"/>
    </row>
    <row r="25" spans="1:15">
      <c r="N25" s="99"/>
    </row>
    <row r="26" spans="1:15">
      <c r="D26" t="s">
        <v>253</v>
      </c>
      <c r="E26" s="123">
        <f>B23+H23</f>
        <v>18981455.4375</v>
      </c>
      <c r="N26" s="99"/>
    </row>
    <row r="27" spans="1:15">
      <c r="E27" t="s">
        <v>264</v>
      </c>
    </row>
    <row r="29" spans="1:15">
      <c r="B29" t="s">
        <v>254</v>
      </c>
    </row>
    <row r="30" spans="1:15">
      <c r="B30" s="144" t="s">
        <v>255</v>
      </c>
    </row>
    <row r="31" spans="1:15">
      <c r="B31" s="144" t="s">
        <v>256</v>
      </c>
    </row>
    <row r="32" spans="1:15">
      <c r="B32" s="144" t="s">
        <v>257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pane xSplit="7" ySplit="2" topLeftCell="M3" activePane="bottomRight" state="frozen"/>
      <selection pane="topRight" activeCell="H1" sqref="H1"/>
      <selection pane="bottomLeft" activeCell="A3" sqref="A3"/>
      <selection pane="bottomRight" activeCell="N6" sqref="N6"/>
    </sheetView>
  </sheetViews>
  <sheetFormatPr baseColWidth="10" defaultRowHeight="15" x14ac:dyDescent="0"/>
  <cols>
    <col min="1" max="1" width="16.5" bestFit="1" customWidth="1"/>
    <col min="9" max="11" width="12.83203125" bestFit="1" customWidth="1"/>
    <col min="12" max="12" width="12.83203125" style="124" customWidth="1"/>
    <col min="13" max="13" width="3.33203125" style="124" customWidth="1"/>
    <col min="14" max="16" width="12.83203125" bestFit="1" customWidth="1"/>
    <col min="17" max="17" width="12.83203125" style="124" bestFit="1" customWidth="1"/>
    <col min="18" max="18" width="3.33203125" style="124" customWidth="1"/>
    <col min="19" max="21" width="12.83203125" bestFit="1" customWidth="1"/>
    <col min="22" max="22" width="13" bestFit="1" customWidth="1"/>
  </cols>
  <sheetData>
    <row r="1" spans="1:22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92"/>
      <c r="N1" s="152">
        <v>2011</v>
      </c>
      <c r="O1" s="152"/>
      <c r="P1" s="153"/>
      <c r="Q1" s="153"/>
      <c r="R1" s="92"/>
      <c r="S1" s="152">
        <v>2015</v>
      </c>
      <c r="T1" s="152"/>
      <c r="U1" s="153"/>
      <c r="V1" s="153"/>
    </row>
    <row r="2" spans="1:22" s="92" customFormat="1">
      <c r="B2" s="92" t="s">
        <v>88</v>
      </c>
      <c r="C2" s="92" t="s">
        <v>89</v>
      </c>
      <c r="D2" s="92" t="s">
        <v>88</v>
      </c>
      <c r="E2" s="92" t="s">
        <v>89</v>
      </c>
      <c r="F2" s="96" t="s">
        <v>88</v>
      </c>
      <c r="G2" s="96" t="s">
        <v>89</v>
      </c>
      <c r="I2" s="92" t="s">
        <v>88</v>
      </c>
      <c r="J2" s="92" t="s">
        <v>89</v>
      </c>
      <c r="K2" s="92" t="s">
        <v>3</v>
      </c>
      <c r="L2" s="92" t="s">
        <v>6</v>
      </c>
      <c r="N2" s="92" t="s">
        <v>88</v>
      </c>
      <c r="O2" s="92" t="s">
        <v>89</v>
      </c>
      <c r="P2" s="92" t="s">
        <v>3</v>
      </c>
      <c r="Q2" s="92" t="s">
        <v>6</v>
      </c>
      <c r="S2" s="92" t="s">
        <v>88</v>
      </c>
      <c r="T2" s="92" t="s">
        <v>89</v>
      </c>
      <c r="U2" s="92" t="s">
        <v>3</v>
      </c>
      <c r="V2" s="92" t="s">
        <v>6</v>
      </c>
    </row>
    <row r="3" spans="1:22">
      <c r="A3" t="s">
        <v>90</v>
      </c>
      <c r="B3" s="94">
        <v>1592162</v>
      </c>
      <c r="C3" s="94">
        <v>67</v>
      </c>
      <c r="D3" s="94">
        <v>1548306</v>
      </c>
      <c r="E3" s="94">
        <v>72</v>
      </c>
      <c r="F3" s="94">
        <v>1047056</v>
      </c>
      <c r="G3" s="94">
        <v>48</v>
      </c>
      <c r="H3" s="94"/>
      <c r="I3" s="99">
        <f>B3*0.92</f>
        <v>1464789.04</v>
      </c>
      <c r="J3" s="99">
        <f>C3*18241.58</f>
        <v>1222185.8600000001</v>
      </c>
      <c r="K3" s="99">
        <f>Padron!$K$17*0.46</f>
        <v>2763764.18</v>
      </c>
      <c r="L3" s="123">
        <f>MIN(K3,I3+J3)</f>
        <v>2686974.9000000004</v>
      </c>
      <c r="M3" s="127"/>
      <c r="N3" s="99">
        <f t="shared" ref="N3:N6" si="0">D3*1.01</f>
        <v>1563789.06</v>
      </c>
      <c r="O3" s="99">
        <f t="shared" ref="O3:O6" si="1">E3*19981.18</f>
        <v>1438644.96</v>
      </c>
      <c r="P3" s="99">
        <f>Padron!$G$17*0.5</f>
        <v>3229342</v>
      </c>
      <c r="Q3" s="123">
        <f>MIN(P3,N3+O3)</f>
        <v>3002434.02</v>
      </c>
      <c r="R3" s="127"/>
      <c r="S3" s="99">
        <f>F3*1.043942</f>
        <v>1093065.7347519998</v>
      </c>
      <c r="T3" s="99">
        <f>20380.8*G3</f>
        <v>978278.39999999991</v>
      </c>
      <c r="U3" s="99">
        <f>Padron!$C$17*0.520275</f>
        <v>3358083.7710000002</v>
      </c>
      <c r="V3" s="123">
        <f t="shared" ref="V3:V8" si="2">MIN(U3,S3+T3)</f>
        <v>2071344.1347519998</v>
      </c>
    </row>
    <row r="4" spans="1:22">
      <c r="A4" t="s">
        <v>91</v>
      </c>
      <c r="B4" s="94">
        <v>1002862</v>
      </c>
      <c r="C4" s="94">
        <v>42</v>
      </c>
      <c r="D4" s="94">
        <v>786297</v>
      </c>
      <c r="E4" s="94">
        <v>36</v>
      </c>
      <c r="F4" s="94">
        <v>804692</v>
      </c>
      <c r="G4" s="94">
        <v>37</v>
      </c>
      <c r="H4" s="94"/>
      <c r="I4" s="99">
        <f t="shared" ref="I4:I5" si="3">B4*0.92</f>
        <v>922633.04</v>
      </c>
      <c r="J4" s="99">
        <f t="shared" ref="J4:J5" si="4">C4*18241.58</f>
        <v>766146.3600000001</v>
      </c>
      <c r="K4" s="99">
        <f>Padron!$K$17*0.46</f>
        <v>2763764.18</v>
      </c>
      <c r="L4" s="123">
        <f>MIN(K4,I4+J4)</f>
        <v>1688779.4000000001</v>
      </c>
      <c r="M4" s="127"/>
      <c r="N4" s="99">
        <f t="shared" si="0"/>
        <v>794159.97</v>
      </c>
      <c r="O4" s="99">
        <f t="shared" si="1"/>
        <v>719322.48</v>
      </c>
      <c r="P4" s="99">
        <f>Padron!$G$17*0.5</f>
        <v>3229342</v>
      </c>
      <c r="Q4" s="123">
        <f>MIN(P4,N4+O4)</f>
        <v>1513482.45</v>
      </c>
      <c r="R4" s="127"/>
      <c r="S4" s="99">
        <f t="shared" ref="S4:S8" si="5">F4*1.043942</f>
        <v>840051.77586399997</v>
      </c>
      <c r="T4" s="99">
        <f t="shared" ref="T4:T8" si="6">20380.8*G4</f>
        <v>754089.6</v>
      </c>
      <c r="U4" s="99">
        <f>Padron!$C$17*0.520275</f>
        <v>3358083.7710000002</v>
      </c>
      <c r="V4" s="123">
        <f t="shared" si="2"/>
        <v>1594141.3758640001</v>
      </c>
    </row>
    <row r="5" spans="1:22">
      <c r="A5" t="s">
        <v>92</v>
      </c>
      <c r="B5" s="94">
        <v>264782</v>
      </c>
      <c r="C5" s="94">
        <v>11</v>
      </c>
      <c r="D5" s="94">
        <v>287707</v>
      </c>
      <c r="E5" s="94">
        <v>13</v>
      </c>
      <c r="F5" s="94"/>
      <c r="G5" s="94"/>
      <c r="H5" s="94"/>
      <c r="I5" s="99">
        <f t="shared" si="3"/>
        <v>243599.44</v>
      </c>
      <c r="J5" s="99">
        <f t="shared" si="4"/>
        <v>200657.38</v>
      </c>
      <c r="K5" s="99">
        <f>Padron!$K$17*0.46</f>
        <v>2763764.18</v>
      </c>
      <c r="L5" s="123">
        <f>MIN(K5,I5+J5)</f>
        <v>444256.82</v>
      </c>
      <c r="M5" s="127"/>
      <c r="N5" s="99">
        <f t="shared" si="0"/>
        <v>290584.07</v>
      </c>
      <c r="O5" s="99">
        <f t="shared" si="1"/>
        <v>259755.34</v>
      </c>
      <c r="P5" s="99">
        <f>Padron!$G$17*0.5</f>
        <v>3229342</v>
      </c>
      <c r="Q5" s="123">
        <f>MIN(P5,N5+O5)</f>
        <v>550339.41</v>
      </c>
      <c r="R5" s="127"/>
      <c r="S5" s="99"/>
      <c r="T5" s="99"/>
      <c r="U5" s="99"/>
      <c r="V5" s="123"/>
    </row>
    <row r="6" spans="1:22">
      <c r="A6" t="s">
        <v>93</v>
      </c>
      <c r="B6" s="94"/>
      <c r="C6" s="94"/>
      <c r="D6" s="94">
        <v>189055</v>
      </c>
      <c r="E6" s="94">
        <v>8</v>
      </c>
      <c r="F6" s="94"/>
      <c r="G6" s="94"/>
      <c r="H6" s="94"/>
      <c r="I6" s="99"/>
      <c r="J6" s="99"/>
      <c r="K6" s="99"/>
      <c r="L6" s="123"/>
      <c r="M6" s="127"/>
      <c r="N6" s="99">
        <f t="shared" si="0"/>
        <v>190945.55</v>
      </c>
      <c r="O6" s="99">
        <f t="shared" si="1"/>
        <v>159849.44</v>
      </c>
      <c r="P6" s="99">
        <f>Padron!$G$17*0.5</f>
        <v>3229342</v>
      </c>
      <c r="Q6" s="123">
        <f>MIN(P6,N6+O6)</f>
        <v>350794.99</v>
      </c>
      <c r="R6" s="127"/>
      <c r="S6" s="99"/>
      <c r="T6" s="99"/>
      <c r="U6" s="99"/>
      <c r="V6" s="123"/>
    </row>
    <row r="7" spans="1:22">
      <c r="A7" t="s">
        <v>229</v>
      </c>
      <c r="B7" s="94"/>
      <c r="C7" s="94"/>
      <c r="D7" s="94"/>
      <c r="E7" s="94"/>
      <c r="F7" s="94">
        <v>587949</v>
      </c>
      <c r="G7" s="94">
        <v>27</v>
      </c>
      <c r="H7" s="94"/>
      <c r="M7" s="127"/>
      <c r="N7" s="99"/>
      <c r="O7" s="99"/>
      <c r="R7" s="127"/>
      <c r="S7" s="99">
        <f t="shared" si="5"/>
        <v>613784.65495799994</v>
      </c>
      <c r="T7" s="99">
        <f t="shared" si="6"/>
        <v>550281.6</v>
      </c>
      <c r="U7" s="99">
        <f>Padron!$C$17*0.520275</f>
        <v>3358083.7710000002</v>
      </c>
      <c r="V7" s="123">
        <f t="shared" si="2"/>
        <v>1164066.254958</v>
      </c>
    </row>
    <row r="8" spans="1:22">
      <c r="A8" t="s">
        <v>230</v>
      </c>
      <c r="B8" s="94"/>
      <c r="C8" s="94"/>
      <c r="D8" s="94"/>
      <c r="E8" s="94"/>
      <c r="F8" s="94">
        <v>383874</v>
      </c>
      <c r="G8" s="94">
        <v>17</v>
      </c>
      <c r="H8" s="94"/>
      <c r="M8" s="127"/>
      <c r="N8" s="99"/>
      <c r="O8" s="99"/>
      <c r="R8" s="127"/>
      <c r="S8" s="99">
        <f t="shared" si="5"/>
        <v>400742.19130799995</v>
      </c>
      <c r="T8" s="99">
        <f t="shared" si="6"/>
        <v>346473.6</v>
      </c>
      <c r="U8" s="99">
        <f>Padron!$C$17*0.520275</f>
        <v>3358083.7710000002</v>
      </c>
      <c r="V8" s="123">
        <f t="shared" si="2"/>
        <v>747215.79130799999</v>
      </c>
    </row>
    <row r="9" spans="1:22">
      <c r="B9" s="94"/>
      <c r="C9" s="94"/>
      <c r="D9" s="94"/>
      <c r="E9" s="94"/>
      <c r="F9" s="138"/>
      <c r="G9" s="94"/>
      <c r="H9" s="94"/>
      <c r="M9" s="127"/>
      <c r="N9" s="99"/>
      <c r="O9" s="99"/>
      <c r="R9" s="127"/>
      <c r="S9" s="99"/>
      <c r="T9" s="99"/>
      <c r="U9" s="99"/>
      <c r="V9" s="123"/>
    </row>
    <row r="10" spans="1:22">
      <c r="A10" t="s">
        <v>126</v>
      </c>
      <c r="B10" s="98" t="s">
        <v>94</v>
      </c>
      <c r="C10" s="94"/>
      <c r="D10" s="97" t="s">
        <v>94</v>
      </c>
      <c r="E10" s="94"/>
      <c r="F10" s="97" t="s">
        <v>94</v>
      </c>
      <c r="G10" s="94"/>
      <c r="H10" s="94"/>
      <c r="M10" s="127"/>
      <c r="R10" s="127"/>
      <c r="S10" s="99"/>
      <c r="T10" s="99"/>
      <c r="U10" s="99"/>
      <c r="V10" s="99"/>
    </row>
    <row r="11" spans="1:22">
      <c r="B11" s="94"/>
      <c r="C11" s="94"/>
      <c r="D11" s="94"/>
      <c r="E11" s="94"/>
      <c r="F11" t="s">
        <v>231</v>
      </c>
      <c r="G11" s="94"/>
      <c r="H11" s="94"/>
      <c r="M11" s="127"/>
      <c r="R11" s="127"/>
    </row>
    <row r="12" spans="1:22">
      <c r="B12" s="94"/>
      <c r="C12" s="94"/>
      <c r="D12" s="94"/>
      <c r="E12" s="94"/>
      <c r="F12" s="94"/>
      <c r="G12" s="94"/>
      <c r="H12" s="94"/>
    </row>
    <row r="13" spans="1:22">
      <c r="B13" s="94"/>
      <c r="C13" s="94"/>
      <c r="D13" s="94"/>
      <c r="E13" s="94"/>
      <c r="F13" s="94"/>
      <c r="G13" s="94"/>
      <c r="H13" s="94"/>
    </row>
    <row r="14" spans="1:22">
      <c r="B14" s="94"/>
      <c r="C14" s="94"/>
      <c r="D14" s="94"/>
      <c r="E14" s="94"/>
      <c r="F14" s="94"/>
      <c r="G14" s="94"/>
      <c r="H14" s="94"/>
    </row>
    <row r="15" spans="1:22">
      <c r="A15" t="s">
        <v>96</v>
      </c>
      <c r="B15" t="s">
        <v>95</v>
      </c>
    </row>
    <row r="16" spans="1:22">
      <c r="A16" t="s">
        <v>103</v>
      </c>
      <c r="B16" t="s">
        <v>104</v>
      </c>
    </row>
    <row r="17" spans="1:2">
      <c r="A17" t="s">
        <v>101</v>
      </c>
      <c r="B17" t="s">
        <v>102</v>
      </c>
    </row>
    <row r="18" spans="1:2">
      <c r="A18" t="s">
        <v>97</v>
      </c>
      <c r="B18" t="s">
        <v>100</v>
      </c>
    </row>
  </sheetData>
  <mergeCells count="6">
    <mergeCell ref="S1:V1"/>
    <mergeCell ref="B1:C1"/>
    <mergeCell ref="D1:E1"/>
    <mergeCell ref="F1:G1"/>
    <mergeCell ref="I1:L1"/>
    <mergeCell ref="N1:Q1"/>
  </mergeCells>
  <hyperlinks>
    <hyperlink ref="D10" r:id="rId1"/>
    <hyperlink ref="B10" r:id="rId2"/>
    <hyperlink ref="F10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"/>
  <sheetViews>
    <sheetView workbookViewId="0">
      <pane xSplit="7" ySplit="2" topLeftCell="O3" activePane="bottomRight" state="frozen"/>
      <selection pane="topRight" activeCell="H1" sqref="H1"/>
      <selection pane="bottomLeft" activeCell="A3" sqref="A3"/>
      <selection pane="bottomRight" activeCell="G32" sqref="G32"/>
    </sheetView>
  </sheetViews>
  <sheetFormatPr baseColWidth="10" defaultRowHeight="15" x14ac:dyDescent="0"/>
  <cols>
    <col min="1" max="1" width="14" bestFit="1" customWidth="1"/>
    <col min="9" max="11" width="11.33203125" bestFit="1" customWidth="1"/>
    <col min="12" max="12" width="11.33203125" customWidth="1"/>
    <col min="13" max="13" width="11.33203125" style="124" bestFit="1" customWidth="1"/>
    <col min="14" max="14" width="3.33203125" style="124" customWidth="1"/>
    <col min="15" max="18" width="11.33203125" bestFit="1" customWidth="1"/>
    <col min="19" max="19" width="11.33203125" style="124" bestFit="1" customWidth="1"/>
    <col min="20" max="20" width="3.33203125" style="124" customWidth="1"/>
    <col min="21" max="25" width="11.33203125" bestFit="1" customWidth="1"/>
  </cols>
  <sheetData>
    <row r="1" spans="1:25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92"/>
      <c r="O1" s="152">
        <v>2011</v>
      </c>
      <c r="P1" s="152"/>
      <c r="Q1" s="153"/>
      <c r="R1" s="153"/>
      <c r="S1" s="153"/>
      <c r="T1" s="92"/>
      <c r="U1" s="152">
        <v>2015</v>
      </c>
      <c r="V1" s="152"/>
      <c r="W1" s="153"/>
      <c r="X1" s="153"/>
      <c r="Y1" s="153"/>
    </row>
    <row r="2" spans="1:25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133</v>
      </c>
      <c r="M2" s="92" t="s">
        <v>6</v>
      </c>
      <c r="N2" s="92"/>
      <c r="O2" s="92" t="s">
        <v>88</v>
      </c>
      <c r="P2" s="92" t="s">
        <v>89</v>
      </c>
      <c r="Q2" s="92" t="s">
        <v>3</v>
      </c>
      <c r="R2" s="92" t="s">
        <v>133</v>
      </c>
      <c r="S2" s="92" t="s">
        <v>6</v>
      </c>
      <c r="T2" s="92"/>
      <c r="U2" s="92" t="s">
        <v>88</v>
      </c>
      <c r="V2" s="92" t="s">
        <v>89</v>
      </c>
      <c r="W2" s="92" t="s">
        <v>3</v>
      </c>
      <c r="X2" s="92" t="s">
        <v>133</v>
      </c>
      <c r="Y2" s="92" t="s">
        <v>6</v>
      </c>
    </row>
    <row r="3" spans="1:25">
      <c r="A3" t="s">
        <v>91</v>
      </c>
      <c r="B3" s="94">
        <v>276415</v>
      </c>
      <c r="C3" s="94">
        <v>30</v>
      </c>
      <c r="D3" s="94">
        <v>197189</v>
      </c>
      <c r="E3">
        <v>22</v>
      </c>
      <c r="F3" s="94">
        <v>141528</v>
      </c>
      <c r="G3" s="94">
        <v>18</v>
      </c>
      <c r="H3" s="94"/>
      <c r="I3" s="99">
        <f>B3*0.7</f>
        <v>193490.5</v>
      </c>
      <c r="J3" s="99">
        <f>C3*11580</f>
        <v>347400</v>
      </c>
      <c r="K3" s="99">
        <f>114419+74606+481396</f>
        <v>670421</v>
      </c>
      <c r="L3" s="125">
        <f>0.17*1017085</f>
        <v>172904.45</v>
      </c>
      <c r="M3" s="123">
        <f>MIN(K3,I3+J3)+L3</f>
        <v>713794.95</v>
      </c>
      <c r="N3" s="127"/>
      <c r="O3" s="99">
        <f>0.76*D3</f>
        <v>149863.64000000001</v>
      </c>
      <c r="P3" s="99">
        <f>12610.62*E3</f>
        <v>277433.64</v>
      </c>
      <c r="Q3" s="99">
        <f>131546.41+83611.15+560134.94</f>
        <v>775292.5</v>
      </c>
      <c r="R3" s="99">
        <f>0.19*1016021</f>
        <v>193043.99</v>
      </c>
      <c r="S3" s="123">
        <f>MIN(Q3,O3+P3)+R3</f>
        <v>620341.27</v>
      </c>
      <c r="T3" s="127"/>
      <c r="U3" s="99">
        <f>F3*0.76</f>
        <v>107561.28</v>
      </c>
      <c r="V3" s="99">
        <f>G3*12610.62</f>
        <v>226991.16</v>
      </c>
      <c r="W3" s="99">
        <f>131546.41+83611.15+560134.94</f>
        <v>775292.5</v>
      </c>
      <c r="X3" s="125">
        <f>0.19*988985</f>
        <v>187907.15</v>
      </c>
      <c r="Y3" s="123">
        <f t="shared" ref="Y3:Y9" si="0">MIN(W3,U3+V3)+X3</f>
        <v>522459.58999999997</v>
      </c>
    </row>
    <row r="4" spans="1:25">
      <c r="A4" t="s">
        <v>90</v>
      </c>
      <c r="B4" s="94">
        <v>208642</v>
      </c>
      <c r="C4" s="94">
        <v>23</v>
      </c>
      <c r="D4" s="94">
        <v>269729</v>
      </c>
      <c r="E4" s="94">
        <v>30</v>
      </c>
      <c r="F4" s="94">
        <v>181757</v>
      </c>
      <c r="G4" s="94">
        <v>21</v>
      </c>
      <c r="H4" s="94"/>
      <c r="I4" s="99">
        <f>B4*0.7</f>
        <v>146049.4</v>
      </c>
      <c r="J4" s="99">
        <f t="shared" ref="J4:J7" si="1">C4*11580</f>
        <v>266340</v>
      </c>
      <c r="K4" s="99">
        <f t="shared" ref="K4:K7" si="2">114419+74606+481396</f>
        <v>670421</v>
      </c>
      <c r="L4" s="125">
        <f>0.17*1017085</f>
        <v>172904.45</v>
      </c>
      <c r="M4" s="123">
        <f t="shared" ref="M4:M7" si="3">MIN(K4,I4+J4)+L4</f>
        <v>585293.85000000009</v>
      </c>
      <c r="N4" s="127"/>
      <c r="O4" s="99">
        <f t="shared" ref="O4:O7" si="4">0.76*D4</f>
        <v>204994.04</v>
      </c>
      <c r="P4" s="99">
        <f t="shared" ref="P4:P7" si="5">12610.62*E4</f>
        <v>378318.60000000003</v>
      </c>
      <c r="Q4" s="99">
        <f t="shared" ref="Q4:Q7" si="6">131546.41+83611.15+560134.94</f>
        <v>775292.5</v>
      </c>
      <c r="R4" s="99">
        <f>0.19*1016021</f>
        <v>193043.99</v>
      </c>
      <c r="S4" s="123">
        <f t="shared" ref="S4:S7" si="7">MIN(Q4,O4+P4)+R4</f>
        <v>776356.63</v>
      </c>
      <c r="T4" s="127"/>
      <c r="U4" s="99">
        <f>F4*0.76</f>
        <v>138135.32</v>
      </c>
      <c r="V4" s="99">
        <f t="shared" ref="V4:V9" si="8">G4*12610.62</f>
        <v>264823.02</v>
      </c>
      <c r="W4" s="99">
        <f>131546.41+83611.15+560134.94</f>
        <v>775292.5</v>
      </c>
      <c r="X4" s="125">
        <f t="shared" ref="X4:X9" si="9">0.19*988985</f>
        <v>187907.15</v>
      </c>
      <c r="Y4" s="123">
        <f t="shared" si="0"/>
        <v>590865.49</v>
      </c>
    </row>
    <row r="5" spans="1:25">
      <c r="A5" t="s">
        <v>130</v>
      </c>
      <c r="B5" s="94">
        <v>81135</v>
      </c>
      <c r="C5" s="94">
        <v>9</v>
      </c>
      <c r="D5" s="94">
        <v>62193</v>
      </c>
      <c r="E5" s="94">
        <v>7</v>
      </c>
      <c r="F5" s="94">
        <v>45577</v>
      </c>
      <c r="G5" s="94">
        <v>6</v>
      </c>
      <c r="H5" s="94"/>
      <c r="I5" s="99">
        <f>B5*0.7</f>
        <v>56794.5</v>
      </c>
      <c r="J5" s="99">
        <f t="shared" si="1"/>
        <v>104220</v>
      </c>
      <c r="K5" s="99">
        <f t="shared" si="2"/>
        <v>670421</v>
      </c>
      <c r="L5" s="125">
        <f>0.17*1017085</f>
        <v>172904.45</v>
      </c>
      <c r="M5" s="123">
        <f t="shared" si="3"/>
        <v>333918.95</v>
      </c>
      <c r="N5" s="127"/>
      <c r="O5" s="99">
        <f t="shared" si="4"/>
        <v>47266.68</v>
      </c>
      <c r="P5" s="99">
        <f t="shared" si="5"/>
        <v>88274.340000000011</v>
      </c>
      <c r="Q5" s="99">
        <f t="shared" si="6"/>
        <v>775292.5</v>
      </c>
      <c r="R5" s="99">
        <f>0.19*1016021</f>
        <v>193043.99</v>
      </c>
      <c r="S5" s="123">
        <f t="shared" si="7"/>
        <v>328585.01</v>
      </c>
      <c r="T5" s="127"/>
      <c r="U5" s="99">
        <f t="shared" ref="U5:U9" si="10">F5*0.76</f>
        <v>34638.519999999997</v>
      </c>
      <c r="V5" s="99">
        <f t="shared" si="8"/>
        <v>75663.72</v>
      </c>
      <c r="W5" s="99">
        <f>131546.41+83611.15+560134.94</f>
        <v>775292.5</v>
      </c>
      <c r="X5" s="125">
        <f t="shared" si="9"/>
        <v>187907.15</v>
      </c>
      <c r="Y5" s="123">
        <f t="shared" si="0"/>
        <v>298209.39</v>
      </c>
    </row>
    <row r="6" spans="1:25">
      <c r="A6" t="s">
        <v>131</v>
      </c>
      <c r="B6" s="94">
        <v>54752</v>
      </c>
      <c r="C6" s="94">
        <v>4</v>
      </c>
      <c r="D6" s="94">
        <v>55932</v>
      </c>
      <c r="E6" s="94">
        <v>4</v>
      </c>
      <c r="F6" s="94">
        <v>30334</v>
      </c>
      <c r="G6" s="94">
        <v>2</v>
      </c>
      <c r="H6" s="94"/>
      <c r="I6" s="99">
        <f>B6*0.7</f>
        <v>38326.399999999994</v>
      </c>
      <c r="J6" s="99">
        <f t="shared" si="1"/>
        <v>46320</v>
      </c>
      <c r="K6" s="99">
        <f t="shared" si="2"/>
        <v>670421</v>
      </c>
      <c r="L6" s="125">
        <f>0.17*1017085</f>
        <v>172904.45</v>
      </c>
      <c r="M6" s="123">
        <f t="shared" si="3"/>
        <v>257550.85</v>
      </c>
      <c r="N6" s="127"/>
      <c r="O6" s="99">
        <f t="shared" si="4"/>
        <v>42508.32</v>
      </c>
      <c r="P6" s="99">
        <f t="shared" si="5"/>
        <v>50442.48</v>
      </c>
      <c r="Q6" s="99">
        <f t="shared" si="6"/>
        <v>775292.5</v>
      </c>
      <c r="R6" s="99">
        <f>0.19*1016021</f>
        <v>193043.99</v>
      </c>
      <c r="S6" s="123">
        <f t="shared" si="7"/>
        <v>285994.78999999998</v>
      </c>
      <c r="T6" s="127"/>
      <c r="U6" s="99"/>
      <c r="V6" s="99"/>
      <c r="W6" s="99"/>
      <c r="X6" s="125"/>
      <c r="Y6" s="123"/>
    </row>
    <row r="7" spans="1:25">
      <c r="A7" t="s">
        <v>132</v>
      </c>
      <c r="B7" s="94">
        <v>27440</v>
      </c>
      <c r="C7" s="94">
        <v>1</v>
      </c>
      <c r="D7" s="94">
        <v>41874</v>
      </c>
      <c r="E7" s="94">
        <v>4</v>
      </c>
      <c r="F7" s="94">
        <v>27936</v>
      </c>
      <c r="G7" s="94">
        <v>1</v>
      </c>
      <c r="H7" s="94"/>
      <c r="I7" s="99">
        <f>B7*0.7</f>
        <v>19208</v>
      </c>
      <c r="J7" s="99">
        <f t="shared" si="1"/>
        <v>11580</v>
      </c>
      <c r="K7" s="99">
        <f t="shared" si="2"/>
        <v>670421</v>
      </c>
      <c r="L7" s="125">
        <v>0</v>
      </c>
      <c r="M7" s="123">
        <f t="shared" si="3"/>
        <v>30788</v>
      </c>
      <c r="N7" s="127"/>
      <c r="O7" s="99">
        <f t="shared" si="4"/>
        <v>31824.240000000002</v>
      </c>
      <c r="P7" s="99">
        <f t="shared" si="5"/>
        <v>50442.48</v>
      </c>
      <c r="Q7" s="99">
        <f t="shared" si="6"/>
        <v>775292.5</v>
      </c>
      <c r="R7" s="99">
        <f>0.19*1016021</f>
        <v>193043.99</v>
      </c>
      <c r="S7" s="123">
        <f t="shared" si="7"/>
        <v>275310.70999999996</v>
      </c>
      <c r="T7" s="127"/>
      <c r="U7" s="99"/>
      <c r="V7" s="99"/>
      <c r="W7" s="99"/>
      <c r="X7" s="125"/>
      <c r="Y7" s="123"/>
    </row>
    <row r="8" spans="1:25">
      <c r="A8" t="s">
        <v>229</v>
      </c>
      <c r="B8" s="94">
        <v>0</v>
      </c>
      <c r="C8" s="94">
        <v>0</v>
      </c>
      <c r="D8" s="94">
        <v>0</v>
      </c>
      <c r="E8" s="94">
        <v>0</v>
      </c>
      <c r="F8" s="94">
        <v>135554</v>
      </c>
      <c r="G8" s="94">
        <v>14</v>
      </c>
      <c r="H8" s="94"/>
      <c r="I8" s="99"/>
      <c r="J8" s="99"/>
      <c r="K8" s="99"/>
      <c r="L8" s="125"/>
      <c r="M8" s="123"/>
      <c r="N8" s="127"/>
      <c r="O8" s="99"/>
      <c r="P8" s="99"/>
      <c r="Q8" s="99"/>
      <c r="R8" s="99"/>
      <c r="S8" s="123"/>
      <c r="T8" s="127"/>
      <c r="U8" s="99">
        <f t="shared" si="10"/>
        <v>103021.04000000001</v>
      </c>
      <c r="V8" s="99">
        <f t="shared" si="8"/>
        <v>176548.68000000002</v>
      </c>
      <c r="W8" s="99">
        <f t="shared" ref="W8:W9" si="11">131546.41+83611.15+560134.94</f>
        <v>775292.5</v>
      </c>
      <c r="X8" s="125">
        <f t="shared" si="9"/>
        <v>187907.15</v>
      </c>
      <c r="Y8" s="123">
        <f t="shared" si="0"/>
        <v>467476.87</v>
      </c>
    </row>
    <row r="9" spans="1:25">
      <c r="A9" t="s">
        <v>230</v>
      </c>
      <c r="B9" s="94">
        <v>0</v>
      </c>
      <c r="C9" s="94">
        <v>0</v>
      </c>
      <c r="D9" s="94">
        <v>0</v>
      </c>
      <c r="E9" s="94">
        <v>0</v>
      </c>
      <c r="F9" s="94">
        <v>62188</v>
      </c>
      <c r="G9" s="94">
        <v>5</v>
      </c>
      <c r="H9" s="94"/>
      <c r="I9" s="99"/>
      <c r="J9" s="99"/>
      <c r="K9" s="99"/>
      <c r="L9" s="125"/>
      <c r="M9" s="123"/>
      <c r="N9" s="127"/>
      <c r="O9" s="99"/>
      <c r="P9" s="99"/>
      <c r="Q9" s="99"/>
      <c r="R9" s="99"/>
      <c r="S9" s="123"/>
      <c r="T9" s="127"/>
      <c r="U9" s="99">
        <f t="shared" si="10"/>
        <v>47262.879999999997</v>
      </c>
      <c r="V9" s="99">
        <f t="shared" si="8"/>
        <v>63053.100000000006</v>
      </c>
      <c r="W9" s="99">
        <f t="shared" si="11"/>
        <v>775292.5</v>
      </c>
      <c r="X9" s="125">
        <f t="shared" si="9"/>
        <v>187907.15</v>
      </c>
      <c r="Y9" s="123">
        <f t="shared" si="0"/>
        <v>298223.13</v>
      </c>
    </row>
    <row r="10" spans="1:25" ht="16">
      <c r="B10" s="94"/>
      <c r="C10" s="94"/>
      <c r="D10" s="94"/>
      <c r="E10" s="94"/>
      <c r="F10" s="139"/>
      <c r="G10" s="128"/>
      <c r="H10" s="94"/>
      <c r="I10" s="99"/>
      <c r="J10" s="99"/>
      <c r="K10" s="99"/>
      <c r="L10" s="125"/>
      <c r="M10" s="123"/>
      <c r="N10" s="127"/>
      <c r="O10" s="99"/>
      <c r="P10" s="99"/>
      <c r="Q10" s="99"/>
      <c r="R10" s="99"/>
      <c r="S10" s="123"/>
      <c r="T10" s="127"/>
      <c r="U10" s="99"/>
      <c r="V10" s="99"/>
      <c r="W10" s="99"/>
      <c r="X10" s="125"/>
      <c r="Y10" s="123"/>
    </row>
    <row r="11" spans="1:25">
      <c r="B11" s="97" t="s">
        <v>94</v>
      </c>
      <c r="C11" s="94"/>
      <c r="D11" s="97" t="s">
        <v>94</v>
      </c>
      <c r="E11" s="94"/>
      <c r="F11" s="97" t="s">
        <v>94</v>
      </c>
      <c r="G11" s="94"/>
      <c r="H11" s="94"/>
      <c r="N11" s="127"/>
      <c r="T11" s="127"/>
    </row>
    <row r="12" spans="1:25">
      <c r="B12" s="94"/>
      <c r="C12" s="94"/>
      <c r="D12" s="94"/>
      <c r="E12" s="94"/>
      <c r="F12" s="94" t="s">
        <v>232</v>
      </c>
      <c r="G12" s="94"/>
      <c r="H12" s="94"/>
      <c r="N12" s="127"/>
      <c r="T12" s="127"/>
    </row>
    <row r="13" spans="1:25">
      <c r="B13" s="94"/>
      <c r="C13" s="94"/>
      <c r="D13" s="94"/>
      <c r="E13" s="94"/>
      <c r="F13" s="94"/>
      <c r="G13" s="94"/>
      <c r="H13" s="94"/>
    </row>
    <row r="14" spans="1:25">
      <c r="A14" t="s">
        <v>136</v>
      </c>
      <c r="B14" s="94" t="s">
        <v>137</v>
      </c>
      <c r="C14" s="94"/>
      <c r="D14" s="94"/>
      <c r="E14" s="94"/>
      <c r="F14" s="94"/>
      <c r="G14" s="94"/>
      <c r="H14" s="94"/>
    </row>
    <row r="15" spans="1:25">
      <c r="A15">
        <v>2007</v>
      </c>
      <c r="B15" s="94" t="s">
        <v>129</v>
      </c>
      <c r="C15" s="94"/>
      <c r="D15" s="94"/>
      <c r="E15" s="94"/>
      <c r="F15" s="94"/>
      <c r="G15" s="94"/>
      <c r="H15" s="94"/>
    </row>
    <row r="16" spans="1:25">
      <c r="A16">
        <v>2011</v>
      </c>
      <c r="B16" s="94" t="s">
        <v>128</v>
      </c>
      <c r="C16" s="94"/>
      <c r="D16" s="94"/>
      <c r="E16" s="94"/>
      <c r="F16" s="94"/>
      <c r="G16" s="94"/>
      <c r="H16" s="94"/>
    </row>
    <row r="17" spans="1:8">
      <c r="A17">
        <v>2015</v>
      </c>
      <c r="B17" s="94" t="s">
        <v>127</v>
      </c>
      <c r="C17" s="94"/>
      <c r="D17" s="94"/>
      <c r="E17" s="94"/>
      <c r="F17" s="94"/>
      <c r="G17" s="94"/>
      <c r="H17" s="94"/>
    </row>
  </sheetData>
  <mergeCells count="6">
    <mergeCell ref="U1:Y1"/>
    <mergeCell ref="B1:C1"/>
    <mergeCell ref="D1:E1"/>
    <mergeCell ref="F1:G1"/>
    <mergeCell ref="I1:M1"/>
    <mergeCell ref="O1:S1"/>
  </mergeCells>
  <hyperlinks>
    <hyperlink ref="B11" r:id="rId1"/>
    <hyperlink ref="D11" r:id="rId2"/>
    <hyperlink ref="F11" r:id="rId3"/>
  </hyperlinks>
  <pageMargins left="0.75" right="0.75" top="1" bottom="1" header="0.5" footer="0.5"/>
  <pageSetup paperSize="9" orientation="portrait" horizontalDpi="4294967292" verticalDpi="4294967292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pane xSplit="9" ySplit="2" topLeftCell="Q3" activePane="bottomRight" state="frozen"/>
      <selection pane="topRight" activeCell="J1" sqref="J1"/>
      <selection pane="bottomLeft" activeCell="A3" sqref="A3"/>
      <selection pane="bottomRight" activeCell="AD7" sqref="AD7"/>
    </sheetView>
  </sheetViews>
  <sheetFormatPr baseColWidth="10" defaultRowHeight="15" x14ac:dyDescent="0"/>
  <cols>
    <col min="1" max="1" width="14" bestFit="1" customWidth="1"/>
    <col min="14" max="14" width="10.83203125" style="124"/>
    <col min="15" max="15" width="3.33203125" style="124" customWidth="1"/>
    <col min="17" max="17" width="11.83203125" bestFit="1" customWidth="1"/>
    <col min="19" max="19" width="10.83203125" style="124"/>
    <col min="20" max="20" width="3.33203125" style="124" customWidth="1"/>
    <col min="25" max="25" width="3.33203125" style="124" customWidth="1"/>
  </cols>
  <sheetData>
    <row r="1" spans="1:32" s="91" customFormat="1">
      <c r="B1" s="152">
        <v>2007</v>
      </c>
      <c r="C1" s="152"/>
      <c r="D1" s="152">
        <v>2011</v>
      </c>
      <c r="E1" s="152"/>
      <c r="F1" s="152">
        <v>2012</v>
      </c>
      <c r="G1" s="152"/>
      <c r="H1" s="154">
        <v>2015</v>
      </c>
      <c r="I1" s="154"/>
      <c r="K1" s="152">
        <v>2007</v>
      </c>
      <c r="L1" s="152"/>
      <c r="M1" s="153"/>
      <c r="N1" s="153"/>
      <c r="O1" s="92"/>
      <c r="P1" s="152">
        <v>2011</v>
      </c>
      <c r="Q1" s="152"/>
      <c r="R1" s="153"/>
      <c r="S1" s="153"/>
      <c r="T1" s="92"/>
      <c r="U1" s="152">
        <v>2012</v>
      </c>
      <c r="V1" s="152"/>
      <c r="W1" s="153"/>
      <c r="X1" s="153"/>
      <c r="Y1" s="92"/>
      <c r="Z1" s="152">
        <v>2015</v>
      </c>
      <c r="AA1" s="152"/>
      <c r="AB1" s="153"/>
      <c r="AC1" s="153"/>
    </row>
    <row r="2" spans="1:32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3" t="s">
        <v>88</v>
      </c>
      <c r="G2" s="93" t="s">
        <v>89</v>
      </c>
      <c r="H2" s="95" t="s">
        <v>88</v>
      </c>
      <c r="I2" s="95" t="s">
        <v>89</v>
      </c>
      <c r="K2" s="92" t="s">
        <v>88</v>
      </c>
      <c r="L2" s="92" t="s">
        <v>89</v>
      </c>
      <c r="M2" s="92" t="s">
        <v>3</v>
      </c>
      <c r="N2" s="92" t="s">
        <v>6</v>
      </c>
      <c r="O2" s="92"/>
      <c r="P2" s="92" t="s">
        <v>88</v>
      </c>
      <c r="Q2" s="92" t="s">
        <v>89</v>
      </c>
      <c r="R2" s="92" t="s">
        <v>3</v>
      </c>
      <c r="S2" s="92" t="s">
        <v>6</v>
      </c>
      <c r="T2" s="92"/>
      <c r="U2" s="92" t="s">
        <v>88</v>
      </c>
      <c r="V2" s="92" t="s">
        <v>89</v>
      </c>
      <c r="W2" s="92" t="s">
        <v>3</v>
      </c>
      <c r="X2" s="92" t="s">
        <v>6</v>
      </c>
      <c r="Y2" s="92"/>
      <c r="Z2" s="92" t="s">
        <v>88</v>
      </c>
      <c r="AA2" s="92" t="s">
        <v>89</v>
      </c>
      <c r="AB2" s="92" t="s">
        <v>3</v>
      </c>
      <c r="AC2" s="92" t="s">
        <v>6</v>
      </c>
    </row>
    <row r="3" spans="1:32">
      <c r="A3" t="s">
        <v>90</v>
      </c>
      <c r="B3" s="94">
        <v>248907</v>
      </c>
      <c r="C3">
        <v>20</v>
      </c>
      <c r="D3" s="94">
        <v>119767</v>
      </c>
      <c r="E3" s="94">
        <v>10</v>
      </c>
      <c r="F3" s="94">
        <v>108091</v>
      </c>
      <c r="G3" s="94">
        <v>10</v>
      </c>
      <c r="H3" s="94">
        <v>115935</v>
      </c>
      <c r="I3" s="94">
        <v>11</v>
      </c>
      <c r="J3" s="94"/>
      <c r="K3" s="126">
        <f>0.67*B3</f>
        <v>166767.69</v>
      </c>
      <c r="L3" s="126">
        <f>13331.88*C3</f>
        <v>266637.59999999998</v>
      </c>
      <c r="M3" s="126">
        <f>0.28*Padron!$K$7+3*99989.12</f>
        <v>601498.24</v>
      </c>
      <c r="N3" s="127">
        <f>MIN(K3+L3,M3)</f>
        <v>433405.29</v>
      </c>
      <c r="O3" s="127"/>
      <c r="P3" s="126">
        <f>D3*0.73</f>
        <v>87429.91</v>
      </c>
      <c r="Q3" s="126">
        <f>14625.07*E3</f>
        <v>146250.70000000001</v>
      </c>
      <c r="R3" s="126">
        <f>0.31*Padron!$G$7+3*109688.06</f>
        <v>665209.89</v>
      </c>
      <c r="S3" s="127">
        <f>MIN(R3,P3+Q3)</f>
        <v>233680.61000000002</v>
      </c>
      <c r="T3" s="127"/>
      <c r="U3" s="126">
        <f>F3*0.75</f>
        <v>81068.25</v>
      </c>
      <c r="V3" s="126">
        <f>14976.07*G3</f>
        <v>149760.70000000001</v>
      </c>
      <c r="W3" s="126">
        <f>0.32*Padron!$F$7+3*112320.57</f>
        <v>683037.55</v>
      </c>
      <c r="X3" s="127">
        <f>MIN(W3,U3+V3)</f>
        <v>230828.95</v>
      </c>
      <c r="Y3" s="127"/>
      <c r="Z3" s="126">
        <f>H3*0.77</f>
        <v>89269.95</v>
      </c>
      <c r="AA3" s="126">
        <f>I3*15290.57</f>
        <v>168196.27</v>
      </c>
      <c r="AB3" s="126">
        <f>0.33*Padron!$C$7+3*114679.3</f>
        <v>694417.38000000012</v>
      </c>
      <c r="AC3" s="127">
        <f t="shared" ref="AC3:AC9" si="0">MIN(AB3,Z3+AA3)</f>
        <v>257466.21999999997</v>
      </c>
      <c r="AD3" s="126"/>
      <c r="AE3" s="126"/>
      <c r="AF3" s="126"/>
    </row>
    <row r="4" spans="1:32">
      <c r="A4" t="s">
        <v>91</v>
      </c>
      <c r="B4" s="94">
        <v>252201</v>
      </c>
      <c r="C4" s="94">
        <v>21</v>
      </c>
      <c r="D4" s="94">
        <v>179619</v>
      </c>
      <c r="E4" s="94">
        <v>15</v>
      </c>
      <c r="F4" s="94">
        <v>161159</v>
      </c>
      <c r="G4" s="94">
        <v>17</v>
      </c>
      <c r="H4" s="94">
        <v>142080</v>
      </c>
      <c r="I4" s="94">
        <v>14</v>
      </c>
      <c r="J4" s="94"/>
      <c r="K4" s="126">
        <f>0.67*B4</f>
        <v>168974.67</v>
      </c>
      <c r="L4" s="126">
        <f>13331.88*C4</f>
        <v>279969.48</v>
      </c>
      <c r="M4" s="126">
        <f>0.28*Padron!$K$7+3*99989.12</f>
        <v>601498.24</v>
      </c>
      <c r="N4" s="127">
        <f>MIN(K4+L4,M4)</f>
        <v>448944.15</v>
      </c>
      <c r="O4" s="127"/>
      <c r="P4" s="126">
        <f>D4*0.73</f>
        <v>131121.87</v>
      </c>
      <c r="Q4" s="126">
        <f>14625.07*E4</f>
        <v>219376.05</v>
      </c>
      <c r="R4" s="126">
        <f>0.31*Padron!$G$7+3*109688.06</f>
        <v>665209.89</v>
      </c>
      <c r="S4" s="127">
        <f>MIN(R4,P4+Q4)</f>
        <v>350497.92</v>
      </c>
      <c r="T4" s="127"/>
      <c r="U4" s="126">
        <f>F4*0.75</f>
        <v>120869.25</v>
      </c>
      <c r="V4" s="126">
        <f t="shared" ref="V4:V7" si="1">14976.07*G4</f>
        <v>254593.19</v>
      </c>
      <c r="W4" s="126">
        <f>0.32*Padron!$F$7+3*112320.57</f>
        <v>683037.55</v>
      </c>
      <c r="X4" s="127">
        <f t="shared" ref="X4:X7" si="2">MIN(W4,U4+V4)</f>
        <v>375462.44</v>
      </c>
      <c r="Y4" s="127"/>
      <c r="Z4" s="126">
        <f t="shared" ref="Z4:Z9" si="3">H4*0.77</f>
        <v>109401.60000000001</v>
      </c>
      <c r="AA4" s="126">
        <f t="shared" ref="AA4:AA9" si="4">I4*15290.57</f>
        <v>214067.97999999998</v>
      </c>
      <c r="AB4" s="126">
        <f>0.33*Padron!$C$7+3*114679.3</f>
        <v>694417.38000000012</v>
      </c>
      <c r="AC4" s="127">
        <f t="shared" si="0"/>
        <v>323469.57999999996</v>
      </c>
      <c r="AD4" s="126"/>
      <c r="AE4" s="126"/>
      <c r="AF4" s="126"/>
    </row>
    <row r="5" spans="1:32">
      <c r="A5" t="s">
        <v>92</v>
      </c>
      <c r="B5" s="94">
        <v>58114</v>
      </c>
      <c r="C5" s="94">
        <v>4</v>
      </c>
      <c r="D5" s="94">
        <v>61703</v>
      </c>
      <c r="E5" s="94">
        <v>4</v>
      </c>
      <c r="F5" s="94">
        <v>61498</v>
      </c>
      <c r="G5" s="94">
        <v>5</v>
      </c>
      <c r="H5" s="94">
        <v>64114</v>
      </c>
      <c r="I5" s="94">
        <v>5</v>
      </c>
      <c r="J5" s="94"/>
      <c r="K5" s="126">
        <f>0.67*B5</f>
        <v>38936.380000000005</v>
      </c>
      <c r="L5" s="126">
        <f>13331.88*C5</f>
        <v>53327.519999999997</v>
      </c>
      <c r="M5" s="126">
        <f>0.28*Padron!$K$7+3*99989.12</f>
        <v>601498.24</v>
      </c>
      <c r="N5" s="127">
        <f>MIN(K5+L5,M5)</f>
        <v>92263.9</v>
      </c>
      <c r="O5" s="127"/>
      <c r="P5" s="126">
        <f>D5*0.73</f>
        <v>45043.19</v>
      </c>
      <c r="Q5" s="126">
        <f>14625.07*E5</f>
        <v>58500.28</v>
      </c>
      <c r="R5" s="126">
        <f>0.31*Padron!$G$7+3*109688.06</f>
        <v>665209.89</v>
      </c>
      <c r="S5" s="127">
        <f>MIN(R5,P5+Q5)</f>
        <v>103543.47</v>
      </c>
      <c r="T5" s="127"/>
      <c r="U5" s="126">
        <f>F5*0.75</f>
        <v>46123.5</v>
      </c>
      <c r="V5" s="126">
        <f t="shared" si="1"/>
        <v>74880.350000000006</v>
      </c>
      <c r="W5" s="126">
        <f>0.32*Padron!$F$7+3*112320.57</f>
        <v>683037.55</v>
      </c>
      <c r="X5" s="127">
        <f t="shared" si="2"/>
        <v>121003.85</v>
      </c>
      <c r="Y5" s="127"/>
      <c r="Z5" s="126">
        <f t="shared" si="3"/>
        <v>49367.78</v>
      </c>
      <c r="AA5" s="126">
        <f t="shared" si="4"/>
        <v>76452.850000000006</v>
      </c>
      <c r="AB5" s="126">
        <f>0.33*Padron!$C$7+3*114679.3</f>
        <v>694417.38000000012</v>
      </c>
      <c r="AC5" s="127">
        <f t="shared" si="0"/>
        <v>125820.63</v>
      </c>
      <c r="AD5" s="126"/>
      <c r="AE5" s="126"/>
      <c r="AF5" s="126"/>
    </row>
    <row r="6" spans="1:32">
      <c r="A6" t="s">
        <v>142</v>
      </c>
      <c r="B6" s="94"/>
      <c r="C6" s="94"/>
      <c r="D6" s="94">
        <v>178031</v>
      </c>
      <c r="E6" s="94">
        <v>16</v>
      </c>
      <c r="F6" s="94">
        <v>124518</v>
      </c>
      <c r="G6" s="94">
        <v>12</v>
      </c>
      <c r="H6" s="94">
        <v>44283</v>
      </c>
      <c r="I6" s="94">
        <v>3</v>
      </c>
      <c r="J6" s="94"/>
      <c r="K6" s="126"/>
      <c r="L6" s="126"/>
      <c r="M6" s="126"/>
      <c r="N6" s="127"/>
      <c r="O6" s="127"/>
      <c r="P6" s="126">
        <f>D6*0.73</f>
        <v>129962.62999999999</v>
      </c>
      <c r="Q6" s="126">
        <f>14625.07*E6</f>
        <v>234001.12</v>
      </c>
      <c r="R6" s="126">
        <f>0.31*Padron!$G$7+3*109688.06</f>
        <v>665209.89</v>
      </c>
      <c r="S6" s="127">
        <f>MIN(R6,P6+Q6)</f>
        <v>363963.75</v>
      </c>
      <c r="T6" s="127"/>
      <c r="U6" s="126">
        <f>F6*0.75</f>
        <v>93388.5</v>
      </c>
      <c r="V6" s="126">
        <f t="shared" si="1"/>
        <v>179712.84</v>
      </c>
      <c r="W6" s="126">
        <f>0.32*Padron!$F$7+3*112320.57</f>
        <v>683037.55</v>
      </c>
      <c r="X6" s="127">
        <f t="shared" si="2"/>
        <v>273101.33999999997</v>
      </c>
      <c r="Y6" s="127"/>
      <c r="Z6" s="126">
        <f t="shared" si="3"/>
        <v>34097.910000000003</v>
      </c>
      <c r="AA6" s="126">
        <f t="shared" si="4"/>
        <v>45871.71</v>
      </c>
      <c r="AB6" s="126">
        <f>0.33*Padron!$C$7+3*114679.3</f>
        <v>694417.38000000012</v>
      </c>
      <c r="AC6" s="127">
        <f t="shared" si="0"/>
        <v>79969.62</v>
      </c>
      <c r="AD6" s="126"/>
      <c r="AE6" s="126"/>
      <c r="AF6" s="126"/>
    </row>
    <row r="7" spans="1:32">
      <c r="A7" t="s">
        <v>93</v>
      </c>
      <c r="B7" s="94"/>
      <c r="C7" s="94"/>
      <c r="D7" s="94"/>
      <c r="E7" s="94"/>
      <c r="F7" s="94">
        <v>17186</v>
      </c>
      <c r="G7" s="94">
        <v>1</v>
      </c>
      <c r="H7" s="94"/>
      <c r="I7" s="94"/>
      <c r="J7" s="94"/>
      <c r="K7" s="126"/>
      <c r="L7" s="126"/>
      <c r="M7" s="126"/>
      <c r="N7" s="127"/>
      <c r="O7" s="127"/>
      <c r="P7" s="126"/>
      <c r="Q7" s="126"/>
      <c r="R7" s="126"/>
      <c r="S7" s="127"/>
      <c r="T7" s="127"/>
      <c r="U7" s="126">
        <f>F7*0.75</f>
        <v>12889.5</v>
      </c>
      <c r="V7" s="126">
        <f t="shared" si="1"/>
        <v>14976.07</v>
      </c>
      <c r="W7" s="126">
        <f>0.32*Padron!$F$7+3*112320.57</f>
        <v>683037.55</v>
      </c>
      <c r="X7" s="127">
        <f t="shared" si="2"/>
        <v>27865.57</v>
      </c>
      <c r="Y7" s="127"/>
      <c r="Z7" s="126"/>
      <c r="AA7" s="126"/>
      <c r="AB7" s="126"/>
      <c r="AC7" s="127"/>
      <c r="AD7" s="126"/>
      <c r="AE7" s="126"/>
      <c r="AF7" s="126"/>
    </row>
    <row r="8" spans="1:32">
      <c r="A8" t="s">
        <v>229</v>
      </c>
      <c r="B8" s="94"/>
      <c r="C8" s="94"/>
      <c r="D8" s="94"/>
      <c r="E8" s="94"/>
      <c r="F8" s="94"/>
      <c r="G8" s="94"/>
      <c r="H8" s="94">
        <v>102178</v>
      </c>
      <c r="I8" s="94">
        <v>9</v>
      </c>
      <c r="J8" s="94"/>
      <c r="K8" s="126"/>
      <c r="L8" s="126"/>
      <c r="M8" s="126"/>
      <c r="N8" s="127"/>
      <c r="O8" s="127"/>
      <c r="P8" s="126"/>
      <c r="Q8" s="126"/>
      <c r="R8" s="126"/>
      <c r="S8" s="127"/>
      <c r="T8" s="127"/>
      <c r="U8" s="126"/>
      <c r="V8" s="126"/>
      <c r="W8" s="126"/>
      <c r="X8" s="127"/>
      <c r="Y8" s="127"/>
      <c r="Z8" s="126">
        <f t="shared" si="3"/>
        <v>78677.06</v>
      </c>
      <c r="AA8" s="126">
        <f t="shared" si="4"/>
        <v>137615.13</v>
      </c>
      <c r="AB8" s="126">
        <f>0.33*Padron!$C$7+3*114679.3</f>
        <v>694417.38000000012</v>
      </c>
      <c r="AC8" s="127">
        <f t="shared" si="0"/>
        <v>216292.19</v>
      </c>
      <c r="AD8" s="126"/>
      <c r="AE8" s="126"/>
      <c r="AF8" s="126"/>
    </row>
    <row r="9" spans="1:32">
      <c r="A9" t="s">
        <v>230</v>
      </c>
      <c r="B9" s="94"/>
      <c r="C9" s="94"/>
      <c r="D9" s="94"/>
      <c r="E9" s="94"/>
      <c r="F9" s="94"/>
      <c r="G9" s="94"/>
      <c r="H9" s="94">
        <v>38197</v>
      </c>
      <c r="I9" s="94">
        <v>2</v>
      </c>
      <c r="J9" s="94"/>
      <c r="K9" s="126"/>
      <c r="L9" s="126"/>
      <c r="M9" s="126"/>
      <c r="N9" s="127"/>
      <c r="O9" s="127"/>
      <c r="P9" s="126"/>
      <c r="Q9" s="126"/>
      <c r="R9" s="126"/>
      <c r="S9" s="127"/>
      <c r="T9" s="127"/>
      <c r="U9" s="126"/>
      <c r="V9" s="126"/>
      <c r="W9" s="126"/>
      <c r="X9" s="127"/>
      <c r="Y9" s="127"/>
      <c r="Z9" s="126">
        <f t="shared" si="3"/>
        <v>29411.690000000002</v>
      </c>
      <c r="AA9" s="126">
        <f t="shared" si="4"/>
        <v>30581.14</v>
      </c>
      <c r="AB9" s="126">
        <f>0.33*Padron!$C$7+3*114679.3</f>
        <v>694417.38000000012</v>
      </c>
      <c r="AC9" s="127">
        <f t="shared" si="0"/>
        <v>59992.83</v>
      </c>
      <c r="AD9" s="126"/>
      <c r="AE9" s="126"/>
      <c r="AF9" s="126"/>
    </row>
    <row r="10" spans="1:32">
      <c r="B10" s="97" t="s">
        <v>94</v>
      </c>
      <c r="C10" s="97" t="s">
        <v>141</v>
      </c>
      <c r="D10" s="94"/>
      <c r="E10" s="97" t="s">
        <v>143</v>
      </c>
      <c r="F10" s="94"/>
      <c r="G10" s="97" t="s">
        <v>143</v>
      </c>
      <c r="H10" s="97" t="s">
        <v>94</v>
      </c>
      <c r="I10" s="94"/>
      <c r="J10" s="94"/>
      <c r="K10" s="94"/>
      <c r="O10" s="127"/>
      <c r="S10" s="127"/>
      <c r="T10" s="127"/>
      <c r="U10" s="126"/>
      <c r="V10" s="126"/>
      <c r="W10" s="126"/>
      <c r="X10" s="126"/>
      <c r="Y10" s="127"/>
      <c r="Z10" s="126"/>
      <c r="AA10" s="126"/>
      <c r="AB10" s="126"/>
      <c r="AC10" s="126"/>
      <c r="AD10" s="126"/>
      <c r="AE10" s="126"/>
      <c r="AF10" s="126"/>
    </row>
    <row r="11" spans="1:32">
      <c r="B11" s="94"/>
      <c r="C11" s="94"/>
      <c r="D11" s="94"/>
      <c r="E11" s="94"/>
      <c r="F11" s="94"/>
      <c r="G11" s="94"/>
      <c r="H11" s="94" t="s">
        <v>233</v>
      </c>
      <c r="I11" s="94"/>
      <c r="J11" s="94"/>
      <c r="K11" s="94"/>
      <c r="O11" s="127"/>
      <c r="S11" s="127"/>
      <c r="T11" s="127"/>
      <c r="U11" s="126"/>
      <c r="V11" s="126"/>
      <c r="W11" s="126"/>
      <c r="X11" s="126"/>
      <c r="Y11" s="127"/>
      <c r="Z11" s="126"/>
      <c r="AA11" s="126"/>
      <c r="AB11" s="126"/>
      <c r="AC11" s="126"/>
      <c r="AD11" s="126"/>
      <c r="AE11" s="126"/>
      <c r="AF11" s="126"/>
    </row>
    <row r="12" spans="1:32"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32">
      <c r="A13" t="s">
        <v>136</v>
      </c>
      <c r="B13" s="94" t="s">
        <v>138</v>
      </c>
      <c r="C13" s="94"/>
      <c r="D13" s="94"/>
      <c r="E13" s="94"/>
      <c r="F13" s="94"/>
      <c r="G13" s="94"/>
      <c r="H13" s="94"/>
      <c r="I13" s="94"/>
      <c r="J13" s="94"/>
      <c r="K13" s="94"/>
    </row>
    <row r="14" spans="1:32">
      <c r="A14">
        <v>2007</v>
      </c>
      <c r="B14" s="94" t="s">
        <v>145</v>
      </c>
      <c r="C14" s="94"/>
      <c r="D14" s="94"/>
      <c r="E14" s="94"/>
      <c r="F14" s="94"/>
      <c r="G14" s="94"/>
      <c r="H14" s="94"/>
      <c r="I14" s="94"/>
      <c r="J14" s="94"/>
      <c r="K14" s="94"/>
    </row>
    <row r="15" spans="1:32">
      <c r="A15">
        <v>2011</v>
      </c>
      <c r="B15" t="s">
        <v>146</v>
      </c>
    </row>
    <row r="16" spans="1:32">
      <c r="A16">
        <v>2012</v>
      </c>
      <c r="B16" t="s">
        <v>144</v>
      </c>
    </row>
    <row r="17" spans="1:2">
      <c r="A17">
        <v>2015</v>
      </c>
      <c r="B17" t="s">
        <v>24</v>
      </c>
    </row>
  </sheetData>
  <mergeCells count="8">
    <mergeCell ref="P1:S1"/>
    <mergeCell ref="U1:X1"/>
    <mergeCell ref="Z1:AC1"/>
    <mergeCell ref="B1:C1"/>
    <mergeCell ref="D1:E1"/>
    <mergeCell ref="H1:I1"/>
    <mergeCell ref="F1:G1"/>
    <mergeCell ref="K1:N1"/>
  </mergeCells>
  <hyperlinks>
    <hyperlink ref="B10" r:id="rId1"/>
    <hyperlink ref="C10" r:id="rId2"/>
    <hyperlink ref="E10" r:id="rId3"/>
    <hyperlink ref="G10" r:id="rId4"/>
    <hyperlink ref="H10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"/>
  <sheetViews>
    <sheetView workbookViewId="0">
      <pane xSplit="7" ySplit="2" topLeftCell="O3" activePane="bottomRight" state="frozen"/>
      <selection pane="topRight" activeCell="H1" sqref="H1"/>
      <selection pane="bottomLeft" activeCell="A3" sqref="A3"/>
      <selection pane="bottomRight" activeCell="G33" sqref="G33"/>
    </sheetView>
  </sheetViews>
  <sheetFormatPr baseColWidth="10" defaultRowHeight="15" x14ac:dyDescent="0"/>
  <cols>
    <col min="1" max="1" width="14" bestFit="1" customWidth="1"/>
    <col min="13" max="13" width="10.83203125" style="124"/>
    <col min="14" max="14" width="3.33203125" style="124" customWidth="1"/>
    <col min="19" max="19" width="10.83203125" style="124"/>
    <col min="20" max="20" width="3.33203125" style="124" customWidth="1"/>
    <col min="26" max="26" width="3.33203125" style="124" customWidth="1"/>
  </cols>
  <sheetData>
    <row r="1" spans="1:26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92"/>
      <c r="O1" s="152">
        <v>2011</v>
      </c>
      <c r="P1" s="152"/>
      <c r="Q1" s="153"/>
      <c r="R1" s="153"/>
      <c r="S1" s="153"/>
      <c r="T1" s="92"/>
      <c r="U1" s="152">
        <v>2015</v>
      </c>
      <c r="V1" s="152"/>
      <c r="W1" s="153"/>
      <c r="X1" s="153"/>
      <c r="Y1" s="153"/>
      <c r="Z1" s="92"/>
    </row>
    <row r="2" spans="1:26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133</v>
      </c>
      <c r="M2" s="92" t="s">
        <v>6</v>
      </c>
      <c r="N2" s="92"/>
      <c r="O2" s="92" t="s">
        <v>88</v>
      </c>
      <c r="P2" s="92" t="s">
        <v>89</v>
      </c>
      <c r="Q2" s="92" t="s">
        <v>3</v>
      </c>
      <c r="R2" s="92" t="s">
        <v>133</v>
      </c>
      <c r="S2" s="92" t="s">
        <v>6</v>
      </c>
      <c r="T2" s="92"/>
      <c r="U2" s="92" t="s">
        <v>88</v>
      </c>
      <c r="V2" s="92" t="s">
        <v>89</v>
      </c>
      <c r="W2" s="92" t="s">
        <v>3</v>
      </c>
      <c r="X2" s="92" t="s">
        <v>133</v>
      </c>
      <c r="Y2" s="92" t="s">
        <v>6</v>
      </c>
      <c r="Z2" s="92"/>
    </row>
    <row r="3" spans="1:26">
      <c r="A3" t="s">
        <v>90</v>
      </c>
      <c r="B3" s="94">
        <v>192577</v>
      </c>
      <c r="C3" s="94">
        <v>28</v>
      </c>
      <c r="D3" s="94">
        <v>194113</v>
      </c>
      <c r="E3" s="94">
        <v>35</v>
      </c>
      <c r="F3" s="94">
        <v>121981</v>
      </c>
      <c r="G3" s="94">
        <v>20</v>
      </c>
      <c r="H3" s="94"/>
      <c r="I3" s="126">
        <f>B3*0.42142</f>
        <v>81155.799339999998</v>
      </c>
      <c r="J3" s="126">
        <f>12777.23*C3</f>
        <v>357762.44</v>
      </c>
      <c r="K3" s="132">
        <f>0.4*Padron!$G$8</f>
        <v>442419.60000000003</v>
      </c>
      <c r="L3" s="126">
        <f>0.16635*(699916-5267)</f>
        <v>115554.86115</v>
      </c>
      <c r="M3" s="127">
        <f>MIN(K3,I3+J3)+L3</f>
        <v>554473.10048999998</v>
      </c>
      <c r="N3" s="127"/>
      <c r="O3" s="126">
        <f>D3*0.46103</f>
        <v>89491.916389999999</v>
      </c>
      <c r="P3" s="126">
        <f>E3*13978.29</f>
        <v>489240.15</v>
      </c>
      <c r="Q3" s="132">
        <f>0.4625*Padron!$G$8</f>
        <v>511547.66250000003</v>
      </c>
      <c r="R3" s="126">
        <f>0.18199*(701751-6065)</f>
        <v>126607.89514000001</v>
      </c>
      <c r="S3" s="127">
        <f>MIN(Q3,O3+P3)+R3</f>
        <v>638155.55764000001</v>
      </c>
      <c r="T3" s="127"/>
      <c r="U3" s="126">
        <f>F3*0.47993</f>
        <v>58542.341330000003</v>
      </c>
      <c r="V3" s="126">
        <f>G3*14551.4</f>
        <v>291028</v>
      </c>
      <c r="W3" s="132">
        <f>0.4125*Padron!$C$8</f>
        <v>455169.82499999995</v>
      </c>
      <c r="X3" s="132">
        <f>0.18945*(744881-6809)</f>
        <v>139827.74040000001</v>
      </c>
      <c r="Y3" s="127">
        <f>MIN(W3,U3+V3)+X3</f>
        <v>489398.08173000003</v>
      </c>
      <c r="Z3" s="127"/>
    </row>
    <row r="4" spans="1:26">
      <c r="A4" t="s">
        <v>91</v>
      </c>
      <c r="B4" s="94">
        <v>134571</v>
      </c>
      <c r="C4" s="94">
        <v>22</v>
      </c>
      <c r="D4" s="94">
        <v>103284</v>
      </c>
      <c r="E4" s="94">
        <v>20</v>
      </c>
      <c r="F4" s="94">
        <v>81073</v>
      </c>
      <c r="G4" s="94">
        <v>14</v>
      </c>
      <c r="H4" s="94"/>
      <c r="I4" s="126">
        <f>B4*0.42142</f>
        <v>56710.910820000005</v>
      </c>
      <c r="J4" s="126">
        <f>12777.23*C4</f>
        <v>281099.06</v>
      </c>
      <c r="K4" s="132">
        <f>0.4*Padron!$G$8</f>
        <v>442419.60000000003</v>
      </c>
      <c r="L4" s="126">
        <f>0.16635*(699916-5267)</f>
        <v>115554.86115</v>
      </c>
      <c r="M4" s="127">
        <f>MIN(K4,I4+J4)+L4</f>
        <v>453364.83197</v>
      </c>
      <c r="N4" s="127"/>
      <c r="O4" s="126">
        <f>D4*0.46103</f>
        <v>47617.022519999999</v>
      </c>
      <c r="P4" s="126">
        <f>E4*13978.29</f>
        <v>279565.80000000005</v>
      </c>
      <c r="Q4" s="132">
        <f>0.4625*Padron!$G$8</f>
        <v>511547.66250000003</v>
      </c>
      <c r="R4" s="126">
        <f>0.18199*(701751)</f>
        <v>127711.66449000001</v>
      </c>
      <c r="S4" s="127">
        <f>MIN(Q4,O4+P4)+R4</f>
        <v>454894.48701000004</v>
      </c>
      <c r="T4" s="127"/>
      <c r="U4" s="126">
        <f>F4*0.47993</f>
        <v>38909.364890000004</v>
      </c>
      <c r="V4" s="126">
        <f>G4*14551.4</f>
        <v>203719.6</v>
      </c>
      <c r="W4" s="132">
        <f>0.4125*Padron!$C$8</f>
        <v>455169.82499999995</v>
      </c>
      <c r="X4" s="132">
        <f>0.18945*(744881-6809)</f>
        <v>139827.74040000001</v>
      </c>
      <c r="Y4" s="127">
        <f>MIN(W4,U4+V4)+X4</f>
        <v>382456.70529000001</v>
      </c>
      <c r="Z4" s="127"/>
    </row>
    <row r="5" spans="1:26">
      <c r="A5" t="s">
        <v>151</v>
      </c>
      <c r="B5" s="94">
        <v>37572</v>
      </c>
      <c r="C5" s="94">
        <v>4</v>
      </c>
      <c r="D5" s="94">
        <v>35554</v>
      </c>
      <c r="E5" s="94">
        <v>4</v>
      </c>
      <c r="F5" s="94"/>
      <c r="G5" s="94"/>
      <c r="H5" s="94"/>
      <c r="I5" s="126"/>
      <c r="J5" s="126"/>
      <c r="K5" s="126"/>
      <c r="L5" s="126"/>
      <c r="M5" s="127"/>
      <c r="N5" s="127"/>
      <c r="O5" s="126"/>
      <c r="P5" s="126"/>
      <c r="Q5" s="126"/>
      <c r="R5" s="126"/>
      <c r="S5" s="127"/>
      <c r="T5" s="127"/>
      <c r="U5" s="126"/>
      <c r="V5" s="126"/>
      <c r="W5" s="132"/>
      <c r="X5" s="132"/>
      <c r="Y5" s="127"/>
      <c r="Z5" s="127"/>
    </row>
    <row r="6" spans="1:26">
      <c r="A6" t="s">
        <v>148</v>
      </c>
      <c r="B6" s="94">
        <v>28178</v>
      </c>
      <c r="C6" s="94">
        <v>3</v>
      </c>
      <c r="D6" s="94"/>
      <c r="E6" s="94"/>
      <c r="F6" s="94"/>
      <c r="G6" s="94"/>
      <c r="H6" s="94"/>
      <c r="I6" s="126"/>
      <c r="J6" s="126"/>
      <c r="K6" s="126"/>
      <c r="L6" s="126"/>
      <c r="M6" s="127"/>
      <c r="N6" s="127"/>
      <c r="O6" s="126"/>
      <c r="P6" s="126"/>
      <c r="Q6" s="126"/>
      <c r="R6" s="126"/>
      <c r="S6" s="127"/>
      <c r="T6" s="127"/>
      <c r="U6" s="126"/>
      <c r="V6" s="126"/>
      <c r="W6" s="132"/>
      <c r="X6" s="132"/>
      <c r="Y6" s="127"/>
      <c r="Z6" s="127"/>
    </row>
    <row r="7" spans="1:26">
      <c r="A7" t="s">
        <v>149</v>
      </c>
      <c r="B7" s="94">
        <v>3292</v>
      </c>
      <c r="C7" s="94">
        <v>1</v>
      </c>
      <c r="D7" s="94">
        <v>4237</v>
      </c>
      <c r="E7" s="94">
        <v>1</v>
      </c>
      <c r="F7" s="94"/>
      <c r="G7" s="94"/>
      <c r="H7" s="94"/>
      <c r="I7" s="126"/>
      <c r="J7" s="126"/>
      <c r="K7" s="126"/>
      <c r="L7" s="126"/>
      <c r="M7" s="127"/>
      <c r="N7" s="127"/>
      <c r="O7" s="126"/>
      <c r="P7" s="126"/>
      <c r="Q7" s="126"/>
      <c r="R7" s="126"/>
      <c r="S7" s="127"/>
      <c r="T7" s="127"/>
      <c r="U7" s="126"/>
      <c r="V7" s="126"/>
      <c r="W7" s="132"/>
      <c r="X7" s="132"/>
      <c r="Y7" s="127"/>
      <c r="Z7" s="127"/>
    </row>
    <row r="8" spans="1:26">
      <c r="A8" t="s">
        <v>150</v>
      </c>
      <c r="B8" s="94">
        <v>1795</v>
      </c>
      <c r="C8" s="94">
        <v>1</v>
      </c>
      <c r="D8" s="94">
        <v>1904</v>
      </c>
      <c r="E8" s="94">
        <v>1</v>
      </c>
      <c r="F8" s="94"/>
      <c r="G8" s="94"/>
      <c r="H8" s="94"/>
      <c r="I8" s="126"/>
      <c r="J8" s="126"/>
      <c r="K8" s="126"/>
      <c r="L8" s="126"/>
      <c r="M8" s="127"/>
      <c r="N8" s="127"/>
      <c r="O8" s="126"/>
      <c r="P8" s="126"/>
      <c r="Q8" s="126"/>
      <c r="R8" s="126"/>
      <c r="S8" s="127"/>
      <c r="T8" s="127"/>
      <c r="U8" s="126"/>
      <c r="V8" s="126"/>
      <c r="W8" s="132"/>
      <c r="X8" s="132"/>
      <c r="Y8" s="127"/>
      <c r="Z8" s="127"/>
    </row>
    <row r="9" spans="1:26">
      <c r="A9" t="s">
        <v>229</v>
      </c>
      <c r="B9" s="94"/>
      <c r="C9" s="94"/>
      <c r="D9" s="94"/>
      <c r="E9" s="94"/>
      <c r="F9" s="94">
        <v>62868</v>
      </c>
      <c r="G9" s="94">
        <v>10</v>
      </c>
      <c r="H9" s="94"/>
      <c r="I9" s="126"/>
      <c r="J9" s="126"/>
      <c r="K9" s="126"/>
      <c r="L9" s="126"/>
      <c r="M9" s="127"/>
      <c r="N9" s="127"/>
      <c r="O9" s="126"/>
      <c r="P9" s="126"/>
      <c r="Q9" s="126"/>
      <c r="R9" s="126"/>
      <c r="S9" s="127"/>
      <c r="T9" s="127"/>
      <c r="U9" s="126">
        <f t="shared" ref="U9:U10" si="0">F9*0.47993</f>
        <v>30172.239240000003</v>
      </c>
      <c r="V9" s="126">
        <f t="shared" ref="V9:V10" si="1">G9*14551.4</f>
        <v>145514</v>
      </c>
      <c r="W9" s="132">
        <f>0.4125*Padron!$C$8</f>
        <v>455169.82499999995</v>
      </c>
      <c r="X9" s="132">
        <f>0.18945*(744881-6809)</f>
        <v>139827.74040000001</v>
      </c>
      <c r="Y9" s="127">
        <f t="shared" ref="Y9:Y10" si="2">MIN(W9,U9+V9)+X9</f>
        <v>315513.97964000003</v>
      </c>
      <c r="Z9" s="127"/>
    </row>
    <row r="10" spans="1:26">
      <c r="A10" t="s">
        <v>230</v>
      </c>
      <c r="B10" s="94"/>
      <c r="C10" s="94"/>
      <c r="D10" s="94"/>
      <c r="E10" s="94"/>
      <c r="F10" s="94">
        <v>25317</v>
      </c>
      <c r="G10" s="94">
        <v>2</v>
      </c>
      <c r="H10" s="94"/>
      <c r="I10" s="126"/>
      <c r="J10" s="126"/>
      <c r="K10" s="126"/>
      <c r="L10" s="126"/>
      <c r="M10" s="127"/>
      <c r="N10" s="127"/>
      <c r="O10" s="126"/>
      <c r="P10" s="126"/>
      <c r="Q10" s="126"/>
      <c r="R10" s="126"/>
      <c r="S10" s="127"/>
      <c r="T10" s="127"/>
      <c r="U10" s="126">
        <f t="shared" si="0"/>
        <v>12150.38781</v>
      </c>
      <c r="V10" s="126">
        <f t="shared" si="1"/>
        <v>29102.799999999999</v>
      </c>
      <c r="W10" s="132">
        <f>0.4125*Padron!$C$8</f>
        <v>455169.82499999995</v>
      </c>
      <c r="X10" s="132">
        <f>0.18945*583541</f>
        <v>110551.84245000001</v>
      </c>
      <c r="Y10" s="127">
        <f t="shared" si="2"/>
        <v>151805.03026000003</v>
      </c>
      <c r="Z10" s="127"/>
    </row>
    <row r="11" spans="1:26">
      <c r="B11" s="94"/>
      <c r="C11" s="94"/>
      <c r="D11" s="94"/>
      <c r="E11" s="94"/>
      <c r="F11" s="128"/>
      <c r="G11" s="128"/>
      <c r="H11" s="94"/>
      <c r="I11" s="126"/>
      <c r="J11" s="126"/>
      <c r="K11" s="126"/>
      <c r="L11" s="126"/>
      <c r="M11" s="127"/>
      <c r="N11" s="127"/>
      <c r="O11" s="126"/>
      <c r="P11" s="126"/>
      <c r="Q11" s="126"/>
      <c r="R11" s="126"/>
      <c r="S11" s="127"/>
      <c r="T11" s="127"/>
      <c r="U11" s="126"/>
      <c r="V11" s="126"/>
      <c r="W11" s="126"/>
      <c r="X11" s="126"/>
      <c r="Y11" s="126"/>
      <c r="Z11" s="127"/>
    </row>
    <row r="12" spans="1:26">
      <c r="B12" s="94"/>
      <c r="C12" s="97" t="s">
        <v>143</v>
      </c>
      <c r="D12" s="94"/>
      <c r="E12" s="97" t="s">
        <v>143</v>
      </c>
      <c r="F12" s="97" t="s">
        <v>94</v>
      </c>
      <c r="G12" s="94"/>
      <c r="H12" s="94"/>
      <c r="I12" s="126"/>
      <c r="J12" s="126"/>
      <c r="K12" s="126"/>
      <c r="L12" s="126"/>
      <c r="M12" s="127"/>
      <c r="N12" s="127"/>
      <c r="O12" s="126"/>
      <c r="P12" s="126"/>
      <c r="Q12" s="126"/>
      <c r="R12" s="126"/>
      <c r="S12" s="127"/>
      <c r="T12" s="127"/>
      <c r="U12" s="126"/>
      <c r="V12" s="126"/>
      <c r="W12" s="126"/>
      <c r="X12" s="126"/>
      <c r="Y12" s="126"/>
      <c r="Z12" s="127"/>
    </row>
    <row r="13" spans="1:26">
      <c r="B13" s="94"/>
      <c r="C13" s="94"/>
      <c r="D13" s="94"/>
      <c r="E13" s="94"/>
      <c r="F13" s="94" t="s">
        <v>234</v>
      </c>
      <c r="G13" s="94"/>
      <c r="H13" s="94"/>
      <c r="I13" s="94"/>
      <c r="O13" s="94"/>
      <c r="U13" s="94"/>
    </row>
    <row r="14" spans="1:26">
      <c r="B14" s="94"/>
      <c r="C14" s="94"/>
      <c r="D14" s="94"/>
      <c r="E14" s="94"/>
      <c r="F14" s="94"/>
      <c r="G14" s="94"/>
      <c r="H14" s="94"/>
      <c r="I14" s="94"/>
      <c r="O14" s="94"/>
      <c r="U14" s="94"/>
    </row>
    <row r="15" spans="1:26">
      <c r="B15" s="94"/>
      <c r="C15" s="94"/>
      <c r="D15" s="94"/>
      <c r="E15" s="94"/>
      <c r="F15" s="94"/>
      <c r="G15" s="94"/>
      <c r="H15" s="94"/>
      <c r="I15" s="94"/>
      <c r="O15" s="94"/>
      <c r="U15" s="94"/>
    </row>
    <row r="16" spans="1:26">
      <c r="A16" t="s">
        <v>136</v>
      </c>
      <c r="B16" t="s">
        <v>147</v>
      </c>
    </row>
    <row r="17" spans="1:2">
      <c r="A17">
        <v>2007</v>
      </c>
      <c r="B17" t="s">
        <v>164</v>
      </c>
    </row>
    <row r="18" spans="1:2">
      <c r="A18">
        <v>2011</v>
      </c>
      <c r="B18" t="s">
        <v>152</v>
      </c>
    </row>
    <row r="19" spans="1:2">
      <c r="A19">
        <v>2015</v>
      </c>
      <c r="B19" s="98" t="s">
        <v>30</v>
      </c>
    </row>
  </sheetData>
  <mergeCells count="6">
    <mergeCell ref="U1:Y1"/>
    <mergeCell ref="B1:C1"/>
    <mergeCell ref="D1:E1"/>
    <mergeCell ref="F1:G1"/>
    <mergeCell ref="I1:M1"/>
    <mergeCell ref="O1:S1"/>
  </mergeCells>
  <hyperlinks>
    <hyperlink ref="C12" r:id="rId1"/>
    <hyperlink ref="E12" r:id="rId2"/>
    <hyperlink ref="B19" r:id="rId3"/>
    <hyperlink ref="F12" r:id="rId4"/>
  </hyperlinks>
  <pageMargins left="0.75" right="0.75" top="1" bottom="1" header="0.5" footer="0.5"/>
  <pageSetup paperSize="9" orientation="portrait" horizontalDpi="4294967292" verticalDpi="4294967292"/>
  <legacy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"/>
  <sheetViews>
    <sheetView workbookViewId="0">
      <pane xSplit="7" ySplit="2" topLeftCell="N3" activePane="bottomRight" state="frozen"/>
      <selection pane="topRight" activeCell="H1" sqref="H1"/>
      <selection pane="bottomLeft" activeCell="A3" sqref="A3"/>
      <selection pane="bottomRight" activeCell="X5" sqref="X5"/>
    </sheetView>
  </sheetViews>
  <sheetFormatPr baseColWidth="10" defaultRowHeight="15" x14ac:dyDescent="0"/>
  <cols>
    <col min="1" max="1" width="17.33203125" style="130" bestFit="1" customWidth="1"/>
    <col min="11" max="11" width="11.83203125" bestFit="1" customWidth="1"/>
    <col min="13" max="13" width="11.83203125" bestFit="1" customWidth="1"/>
    <col min="14" max="14" width="3.33203125" style="124" customWidth="1"/>
    <col min="17" max="17" width="11.83203125" bestFit="1" customWidth="1"/>
    <col min="20" max="20" width="3.33203125" style="124" customWidth="1"/>
    <col min="23" max="23" width="11.83203125" bestFit="1" customWidth="1"/>
  </cols>
  <sheetData>
    <row r="1" spans="1:25" s="91" customFormat="1">
      <c r="A1" s="122"/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92"/>
      <c r="O1" s="152">
        <v>2011</v>
      </c>
      <c r="P1" s="152"/>
      <c r="Q1" s="153"/>
      <c r="R1" s="153"/>
      <c r="S1" s="153"/>
      <c r="T1" s="92"/>
      <c r="U1" s="152">
        <v>2015</v>
      </c>
      <c r="V1" s="152"/>
      <c r="W1" s="153"/>
      <c r="X1" s="153"/>
      <c r="Y1" s="153"/>
    </row>
    <row r="2" spans="1:25" s="91" customFormat="1">
      <c r="A2" s="122"/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133</v>
      </c>
      <c r="M2" s="92" t="s">
        <v>6</v>
      </c>
      <c r="N2" s="92"/>
      <c r="O2" s="92" t="s">
        <v>88</v>
      </c>
      <c r="P2" s="92" t="s">
        <v>89</v>
      </c>
      <c r="Q2" s="92" t="s">
        <v>3</v>
      </c>
      <c r="R2" s="92" t="s">
        <v>133</v>
      </c>
      <c r="S2" s="92" t="s">
        <v>6</v>
      </c>
      <c r="T2" s="92"/>
      <c r="U2" s="92" t="s">
        <v>88</v>
      </c>
      <c r="V2" s="92" t="s">
        <v>89</v>
      </c>
      <c r="W2" s="92" t="s">
        <v>3</v>
      </c>
      <c r="X2" s="92" t="s">
        <v>133</v>
      </c>
      <c r="Y2" s="92" t="s">
        <v>6</v>
      </c>
    </row>
    <row r="3" spans="1:25">
      <c r="A3" s="130" t="s">
        <v>91</v>
      </c>
      <c r="B3" s="94">
        <v>322833</v>
      </c>
      <c r="C3" s="94">
        <v>26</v>
      </c>
      <c r="D3" s="94">
        <v>190028</v>
      </c>
      <c r="E3" s="94">
        <v>15</v>
      </c>
      <c r="F3" s="94">
        <v>180669</v>
      </c>
      <c r="G3" s="94">
        <v>15</v>
      </c>
      <c r="H3" s="94"/>
      <c r="I3" s="126">
        <f>B3*0.73</f>
        <v>235668.09</v>
      </c>
      <c r="J3" s="126">
        <f>C3*19512.14</f>
        <v>507315.64</v>
      </c>
      <c r="K3" s="126">
        <v>1117666.48</v>
      </c>
      <c r="L3" s="126">
        <f>0.18*1535703</f>
        <v>276426.53999999998</v>
      </c>
      <c r="M3" s="127">
        <f>MIN(K3,I3+J3)+L3</f>
        <v>1019410.27</v>
      </c>
      <c r="N3" s="127"/>
      <c r="O3" s="126">
        <f>D3*0.76</f>
        <v>144421.28</v>
      </c>
      <c r="P3" s="126">
        <f>E3*20456.28</f>
        <v>306844.19999999995</v>
      </c>
      <c r="Q3" s="126">
        <v>1239333.6200000001</v>
      </c>
      <c r="R3" s="126">
        <f>1580359*0.18</f>
        <v>284464.62</v>
      </c>
      <c r="S3" s="127">
        <f>MIN(Q3,O3+P3)+R3</f>
        <v>735730.1</v>
      </c>
      <c r="T3" s="127"/>
      <c r="U3" s="126">
        <f>F3*0.77</f>
        <v>139115.13</v>
      </c>
      <c r="V3" s="126">
        <f>G3*20805.96</f>
        <v>312089.39999999997</v>
      </c>
      <c r="W3" s="126">
        <v>1242018.58</v>
      </c>
      <c r="X3" s="132">
        <f>1528736*0.17</f>
        <v>259885.12000000002</v>
      </c>
      <c r="Y3" s="127">
        <f>MIN(W3,U3+V3)+X3</f>
        <v>711089.65</v>
      </c>
    </row>
    <row r="4" spans="1:25">
      <c r="A4" s="130" t="s">
        <v>168</v>
      </c>
      <c r="B4" s="94">
        <v>222905</v>
      </c>
      <c r="C4" s="94">
        <v>17</v>
      </c>
      <c r="D4" s="94">
        <v>223785</v>
      </c>
      <c r="E4" s="94">
        <v>20</v>
      </c>
      <c r="F4" s="94">
        <v>165446</v>
      </c>
      <c r="G4" s="94">
        <v>18</v>
      </c>
      <c r="H4" s="94"/>
      <c r="I4" s="126"/>
      <c r="J4" s="126"/>
      <c r="K4" s="126"/>
      <c r="L4" s="126"/>
      <c r="M4" s="126"/>
      <c r="N4" s="127"/>
      <c r="O4" s="126"/>
      <c r="P4" s="126"/>
      <c r="Q4" s="126"/>
      <c r="R4" s="126"/>
      <c r="S4" s="126"/>
      <c r="T4" s="127"/>
      <c r="U4" s="126"/>
      <c r="V4" s="126"/>
      <c r="W4" s="126"/>
      <c r="X4" s="132"/>
      <c r="Y4" s="126"/>
    </row>
    <row r="5" spans="1:25">
      <c r="A5" s="130" t="s">
        <v>90</v>
      </c>
      <c r="B5" s="94">
        <v>224883</v>
      </c>
      <c r="C5" s="94">
        <v>15</v>
      </c>
      <c r="D5" s="94">
        <v>289381</v>
      </c>
      <c r="E5" s="94">
        <v>21</v>
      </c>
      <c r="F5" s="94">
        <v>169065</v>
      </c>
      <c r="G5" s="94">
        <v>12</v>
      </c>
      <c r="H5" s="94"/>
      <c r="I5" s="126">
        <f>B5*0.73</f>
        <v>164164.59</v>
      </c>
      <c r="J5" s="126">
        <f>C5*19512.14</f>
        <v>292682.09999999998</v>
      </c>
      <c r="K5" s="126">
        <v>1117666.48</v>
      </c>
      <c r="L5" s="126">
        <f>0.18*1535703</f>
        <v>276426.53999999998</v>
      </c>
      <c r="M5" s="127">
        <f>MIN(K5,I5+J5)+L5</f>
        <v>733273.23</v>
      </c>
      <c r="N5" s="127"/>
      <c r="O5" s="126">
        <f>D5*0.76</f>
        <v>219929.56</v>
      </c>
      <c r="P5" s="126">
        <f>E5*20456.28</f>
        <v>429581.88</v>
      </c>
      <c r="Q5" s="126">
        <v>1239333.6200000001</v>
      </c>
      <c r="R5" s="126">
        <f>1580359*0.18</f>
        <v>284464.62</v>
      </c>
      <c r="S5" s="127">
        <f>MIN(Q5,O5+P5)+R5</f>
        <v>933976.05999999994</v>
      </c>
      <c r="T5" s="127"/>
      <c r="U5" s="126">
        <f>F5*0.77</f>
        <v>130180.05</v>
      </c>
      <c r="V5" s="126">
        <f>G5*20805.96</f>
        <v>249671.52</v>
      </c>
      <c r="W5" s="126">
        <v>1242018.58</v>
      </c>
      <c r="X5" s="132">
        <f>(1528736-23895)*0.17</f>
        <v>255822.97000000003</v>
      </c>
      <c r="Y5" s="127">
        <f>MIN(W5,U5+V5)+X5</f>
        <v>635674.54</v>
      </c>
    </row>
    <row r="6" spans="1:25">
      <c r="A6" s="130" t="s">
        <v>169</v>
      </c>
      <c r="B6" s="94">
        <v>2973</v>
      </c>
      <c r="C6" s="94">
        <v>2</v>
      </c>
      <c r="D6" s="94">
        <v>2163</v>
      </c>
      <c r="E6" s="94">
        <v>1</v>
      </c>
      <c r="F6" s="94"/>
      <c r="G6" s="94"/>
      <c r="H6" s="94"/>
      <c r="I6" s="126"/>
      <c r="J6" s="126"/>
      <c r="K6" s="126"/>
      <c r="L6" s="126"/>
      <c r="M6" s="126"/>
      <c r="N6" s="127"/>
      <c r="O6" s="126"/>
      <c r="P6" s="126"/>
      <c r="Q6" s="126"/>
      <c r="R6" s="126"/>
      <c r="S6" s="126"/>
      <c r="T6" s="127"/>
      <c r="U6" s="126"/>
      <c r="V6" s="126"/>
      <c r="W6" s="126"/>
      <c r="X6" s="132"/>
      <c r="Y6" s="127"/>
    </row>
    <row r="7" spans="1:25">
      <c r="A7" s="130" t="s">
        <v>170</v>
      </c>
      <c r="B7" s="94"/>
      <c r="C7" s="94"/>
      <c r="D7" s="94">
        <v>82148</v>
      </c>
      <c r="E7" s="94">
        <v>3</v>
      </c>
      <c r="F7" s="94">
        <v>93152</v>
      </c>
      <c r="G7" s="94">
        <v>5</v>
      </c>
      <c r="H7" s="94"/>
      <c r="I7" s="126"/>
      <c r="J7" s="126"/>
      <c r="K7" s="126"/>
      <c r="L7" s="126"/>
      <c r="M7" s="126"/>
      <c r="N7" s="127"/>
      <c r="O7" s="126"/>
      <c r="P7" s="126"/>
      <c r="Q7" s="126"/>
      <c r="R7" s="126"/>
      <c r="S7" s="126"/>
      <c r="T7" s="127"/>
      <c r="U7" s="126"/>
      <c r="V7" s="126"/>
      <c r="W7" s="126"/>
      <c r="X7" s="132"/>
      <c r="Y7" s="127"/>
    </row>
    <row r="8" spans="1:25">
      <c r="A8" s="130" t="s">
        <v>229</v>
      </c>
      <c r="B8" s="94"/>
      <c r="C8" s="94"/>
      <c r="D8" s="94"/>
      <c r="E8" s="94"/>
      <c r="F8" s="94">
        <v>132159</v>
      </c>
      <c r="G8" s="94">
        <v>7</v>
      </c>
      <c r="H8" s="94"/>
      <c r="I8" s="126"/>
      <c r="J8" s="126"/>
      <c r="K8" s="126"/>
      <c r="L8" s="126"/>
      <c r="M8" s="126"/>
      <c r="N8" s="127"/>
      <c r="O8" s="126"/>
      <c r="P8" s="126"/>
      <c r="Q8" s="126"/>
      <c r="R8" s="126"/>
      <c r="S8" s="126"/>
      <c r="T8" s="127"/>
      <c r="U8" s="126">
        <f t="shared" ref="U8" si="0">F8*0.77</f>
        <v>101762.43000000001</v>
      </c>
      <c r="V8" s="126">
        <f t="shared" ref="V8" si="1">G8*20805.96</f>
        <v>145641.72</v>
      </c>
      <c r="W8" s="126">
        <v>1242021.58</v>
      </c>
      <c r="X8" s="132">
        <f>(1528736-87772)*0.13</f>
        <v>187325.32</v>
      </c>
      <c r="Y8" s="127">
        <f t="shared" ref="Y8" si="2">MIN(W8,U8+V8)+X8</f>
        <v>434729.47000000003</v>
      </c>
    </row>
    <row r="9" spans="1:25">
      <c r="B9" s="94"/>
      <c r="C9" s="97" t="s">
        <v>143</v>
      </c>
      <c r="D9" s="94"/>
      <c r="E9" s="97" t="s">
        <v>143</v>
      </c>
      <c r="F9" s="97" t="s">
        <v>94</v>
      </c>
      <c r="G9" s="94"/>
      <c r="H9" s="94"/>
      <c r="I9" s="94"/>
      <c r="N9" s="127"/>
      <c r="T9" s="127"/>
    </row>
    <row r="10" spans="1:25">
      <c r="B10" s="94"/>
      <c r="C10" s="94"/>
      <c r="D10" s="94"/>
      <c r="E10" s="94"/>
      <c r="F10" s="94" t="s">
        <v>235</v>
      </c>
      <c r="G10" s="94"/>
      <c r="H10" s="94"/>
      <c r="I10" s="94"/>
    </row>
    <row r="11" spans="1:25">
      <c r="B11" s="94"/>
      <c r="C11" s="94"/>
      <c r="D11" s="94"/>
      <c r="E11" s="94"/>
      <c r="F11" s="94"/>
      <c r="G11" s="94"/>
      <c r="H11" s="94"/>
      <c r="I11" s="94"/>
    </row>
    <row r="12" spans="1:25">
      <c r="A12" s="130" t="s">
        <v>136</v>
      </c>
      <c r="B12" s="94" t="s">
        <v>165</v>
      </c>
      <c r="C12" s="94"/>
      <c r="D12" s="94"/>
      <c r="E12" s="94"/>
      <c r="F12" s="94"/>
      <c r="G12" s="94"/>
      <c r="H12" s="94"/>
      <c r="I12" s="94"/>
    </row>
    <row r="13" spans="1:25">
      <c r="A13" s="130" t="s">
        <v>173</v>
      </c>
      <c r="B13" s="94" t="s">
        <v>166</v>
      </c>
      <c r="C13" s="94"/>
      <c r="D13" s="94"/>
      <c r="E13" s="94"/>
      <c r="F13" s="94"/>
      <c r="G13" s="94"/>
      <c r="H13" s="94"/>
      <c r="I13" s="94"/>
    </row>
    <row r="14" spans="1:25">
      <c r="A14" s="130" t="s">
        <v>171</v>
      </c>
      <c r="B14" s="94" t="s">
        <v>172</v>
      </c>
      <c r="C14" s="94"/>
      <c r="D14" s="94"/>
      <c r="E14" s="94"/>
      <c r="F14" s="94"/>
      <c r="G14" s="94"/>
      <c r="H14" s="94"/>
      <c r="I14" s="94"/>
    </row>
    <row r="15" spans="1:25">
      <c r="A15" s="130" t="s">
        <v>174</v>
      </c>
      <c r="B15" s="94" t="s">
        <v>167</v>
      </c>
      <c r="C15" s="94"/>
      <c r="D15" s="94"/>
      <c r="E15" s="94"/>
      <c r="F15" s="94"/>
      <c r="G15" s="94"/>
      <c r="H15" s="94"/>
      <c r="I15" s="94"/>
    </row>
    <row r="16" spans="1:25">
      <c r="A16" s="130" t="s">
        <v>175</v>
      </c>
      <c r="B16" s="94" t="s">
        <v>176</v>
      </c>
      <c r="C16" s="94"/>
      <c r="D16" s="94"/>
      <c r="E16" s="94"/>
      <c r="F16" s="94"/>
      <c r="G16" s="94"/>
      <c r="H16" s="94"/>
      <c r="I16" s="94"/>
    </row>
    <row r="17" spans="1:2">
      <c r="A17" s="130" t="s">
        <v>177</v>
      </c>
      <c r="B17" t="s">
        <v>179</v>
      </c>
    </row>
    <row r="18" spans="1:2">
      <c r="A18" s="130" t="s">
        <v>178</v>
      </c>
      <c r="B18" t="s">
        <v>41</v>
      </c>
    </row>
  </sheetData>
  <mergeCells count="6">
    <mergeCell ref="U1:Y1"/>
    <mergeCell ref="B1:C1"/>
    <mergeCell ref="D1:E1"/>
    <mergeCell ref="F1:G1"/>
    <mergeCell ref="I1:M1"/>
    <mergeCell ref="O1:S1"/>
  </mergeCells>
  <hyperlinks>
    <hyperlink ref="C9" r:id="rId1"/>
    <hyperlink ref="E9" r:id="rId2"/>
    <hyperlink ref="F9" r:id="rId3"/>
  </hyperlinks>
  <pageMargins left="0.75" right="0.75" top="1" bottom="1" header="0.5" footer="0.5"/>
  <pageSetup paperSize="9" orientation="portrait" horizontalDpi="4294967292" verticalDpi="4294967292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pane xSplit="7" ySplit="2" topLeftCell="N3" activePane="bottomRight" state="frozen"/>
      <selection pane="topRight" activeCell="H1" sqref="H1"/>
      <selection pane="bottomLeft" activeCell="A3" sqref="A3"/>
      <selection pane="bottomRight" activeCell="U5" sqref="U5"/>
    </sheetView>
  </sheetViews>
  <sheetFormatPr baseColWidth="10" defaultRowHeight="15" x14ac:dyDescent="0"/>
  <cols>
    <col min="1" max="1" width="14" bestFit="1" customWidth="1"/>
    <col min="12" max="12" width="10.83203125" style="124"/>
    <col min="13" max="13" width="3.33203125" style="124" customWidth="1"/>
    <col min="18" max="18" width="3.33203125" style="124" customWidth="1"/>
  </cols>
  <sheetData>
    <row r="1" spans="1:22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92"/>
      <c r="N1" s="152">
        <v>2011</v>
      </c>
      <c r="O1" s="152"/>
      <c r="P1" s="153"/>
      <c r="Q1" s="153"/>
      <c r="R1" s="92"/>
      <c r="S1" s="152">
        <v>2015</v>
      </c>
      <c r="T1" s="152"/>
      <c r="U1" s="153"/>
      <c r="V1" s="153"/>
    </row>
    <row r="2" spans="1:22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6</v>
      </c>
      <c r="M2" s="92"/>
      <c r="N2" s="92" t="s">
        <v>88</v>
      </c>
      <c r="O2" s="92" t="s">
        <v>89</v>
      </c>
      <c r="P2" s="92" t="s">
        <v>3</v>
      </c>
      <c r="Q2" s="92" t="s">
        <v>6</v>
      </c>
      <c r="R2" s="92"/>
      <c r="S2" s="92" t="s">
        <v>88</v>
      </c>
      <c r="T2" s="92" t="s">
        <v>89</v>
      </c>
      <c r="U2" s="92" t="s">
        <v>3</v>
      </c>
      <c r="V2" s="92" t="s">
        <v>6</v>
      </c>
    </row>
    <row r="3" spans="1:22">
      <c r="A3" t="s">
        <v>90</v>
      </c>
      <c r="B3" s="94">
        <v>143610</v>
      </c>
      <c r="C3" s="94">
        <v>17</v>
      </c>
      <c r="D3" s="94">
        <v>156499</v>
      </c>
      <c r="E3" s="94">
        <v>20</v>
      </c>
      <c r="F3" s="94">
        <v>104438</v>
      </c>
      <c r="G3" s="94">
        <v>13</v>
      </c>
      <c r="H3" s="94"/>
      <c r="I3" s="126">
        <f>0.78*B3</f>
        <v>112015.8</v>
      </c>
      <c r="J3" s="126">
        <f>C3*9769.96</f>
        <v>166089.31999999998</v>
      </c>
      <c r="K3" s="126">
        <f>0.51*Padron!$K$10</f>
        <v>289726.41000000003</v>
      </c>
      <c r="L3" s="127">
        <f>MIN(I3+J3,K3)</f>
        <v>278105.12</v>
      </c>
      <c r="M3" s="127"/>
      <c r="N3" s="126">
        <f>0.84*D3</f>
        <v>131459.16</v>
      </c>
      <c r="O3" s="126">
        <f>E3*10561.32</f>
        <v>211226.4</v>
      </c>
      <c r="P3" s="126">
        <f>0.55*Padron!$K$10</f>
        <v>312450.05000000005</v>
      </c>
      <c r="Q3" s="127">
        <f>MIN(N3+O3,P3)</f>
        <v>312450.05000000005</v>
      </c>
      <c r="R3" s="127"/>
      <c r="S3" s="126">
        <f>0.86*F3</f>
        <v>89816.68</v>
      </c>
      <c r="T3" s="126">
        <f>G3*10867.6</f>
        <v>141278.80000000002</v>
      </c>
      <c r="U3" s="126">
        <f>0.57*Padron!$K$10</f>
        <v>323811.87</v>
      </c>
      <c r="V3" s="127">
        <f>MIN(S3+T3,U3)</f>
        <v>231095.48</v>
      </c>
    </row>
    <row r="4" spans="1:22">
      <c r="A4" t="s">
        <v>91</v>
      </c>
      <c r="B4" s="94">
        <v>84982</v>
      </c>
      <c r="C4" s="94">
        <v>10</v>
      </c>
      <c r="D4" s="94">
        <v>98887</v>
      </c>
      <c r="E4" s="94">
        <v>12</v>
      </c>
      <c r="F4" s="94">
        <v>44855</v>
      </c>
      <c r="G4" s="94">
        <v>5</v>
      </c>
      <c r="H4" s="94"/>
      <c r="I4" s="126">
        <f>0.78*B4</f>
        <v>66285.960000000006</v>
      </c>
      <c r="J4" s="126">
        <f>C4*9769.96</f>
        <v>97699.599999999991</v>
      </c>
      <c r="K4" s="126">
        <f>0.51*Padron!$K$10</f>
        <v>289726.41000000003</v>
      </c>
      <c r="L4" s="127">
        <f>MIN(I4+J4,K4)</f>
        <v>163985.56</v>
      </c>
      <c r="M4" s="127"/>
      <c r="N4" s="126">
        <f>0.84*D4</f>
        <v>83065.08</v>
      </c>
      <c r="O4" s="126">
        <f>E4*10561.32</f>
        <v>126735.84</v>
      </c>
      <c r="P4" s="126">
        <f>0.55*Padron!$K$10</f>
        <v>312450.05000000005</v>
      </c>
      <c r="Q4" s="127">
        <f>MIN(N4+O4,P4)</f>
        <v>209800.91999999998</v>
      </c>
      <c r="R4" s="127"/>
      <c r="S4" s="126">
        <f>0.86*F4</f>
        <v>38575.300000000003</v>
      </c>
      <c r="T4" s="126">
        <f>G4*10867.6</f>
        <v>54338</v>
      </c>
      <c r="U4" s="126">
        <f>0.57*Padron!$K$10</f>
        <v>323811.87</v>
      </c>
      <c r="V4" s="127">
        <f>MIN(S4+T4,U4)</f>
        <v>92913.3</v>
      </c>
    </row>
    <row r="5" spans="1:22">
      <c r="A5" t="s">
        <v>180</v>
      </c>
      <c r="B5" s="94">
        <v>99159</v>
      </c>
      <c r="C5" s="94">
        <v>12</v>
      </c>
      <c r="D5" s="94">
        <v>55541</v>
      </c>
      <c r="E5" s="94">
        <v>7</v>
      </c>
      <c r="F5" s="94">
        <v>96070</v>
      </c>
      <c r="G5" s="94">
        <v>12</v>
      </c>
      <c r="H5" s="94"/>
      <c r="I5" s="126"/>
      <c r="J5" s="126"/>
      <c r="K5" s="126"/>
      <c r="L5" s="127"/>
      <c r="M5" s="127"/>
      <c r="N5" s="126"/>
      <c r="O5" s="126"/>
      <c r="P5" s="126"/>
      <c r="Q5" s="126"/>
      <c r="R5" s="127"/>
      <c r="S5" s="126">
        <f t="shared" ref="S5:S7" si="0">0.86*F5</f>
        <v>82620.2</v>
      </c>
      <c r="T5" s="126">
        <f t="shared" ref="T5:T7" si="1">G5*10867.6</f>
        <v>130411.20000000001</v>
      </c>
      <c r="U5" s="126">
        <f>0.57*Padron!$K$10</f>
        <v>323811.87</v>
      </c>
      <c r="V5" s="127">
        <f t="shared" ref="V5:V7" si="2">MIN(S5+T5,U5)</f>
        <v>213031.40000000002</v>
      </c>
    </row>
    <row r="6" spans="1:22">
      <c r="A6" t="s">
        <v>229</v>
      </c>
      <c r="B6" s="94"/>
      <c r="C6" s="94"/>
      <c r="D6" s="94"/>
      <c r="E6" s="94"/>
      <c r="F6" s="94">
        <v>28272</v>
      </c>
      <c r="G6" s="94">
        <v>3</v>
      </c>
      <c r="H6" s="94"/>
      <c r="I6" s="126"/>
      <c r="J6" s="126"/>
      <c r="K6" s="126"/>
      <c r="L6" s="127"/>
      <c r="M6" s="127"/>
      <c r="N6" s="126"/>
      <c r="O6" s="126"/>
      <c r="P6" s="126"/>
      <c r="Q6" s="126"/>
      <c r="R6" s="127"/>
      <c r="S6" s="126">
        <f t="shared" si="0"/>
        <v>24313.919999999998</v>
      </c>
      <c r="T6" s="126">
        <f t="shared" si="1"/>
        <v>32602.800000000003</v>
      </c>
      <c r="U6" s="126">
        <f>0.57*Padron!$K$10</f>
        <v>323811.87</v>
      </c>
      <c r="V6" s="127">
        <f t="shared" si="2"/>
        <v>56916.72</v>
      </c>
    </row>
    <row r="7" spans="1:22">
      <c r="A7" t="s">
        <v>230</v>
      </c>
      <c r="B7" s="94"/>
      <c r="C7" s="94"/>
      <c r="D7" s="94"/>
      <c r="E7" s="94"/>
      <c r="F7" s="94">
        <v>22165</v>
      </c>
      <c r="G7" s="94">
        <v>2</v>
      </c>
      <c r="H7" s="94"/>
      <c r="I7" s="126"/>
      <c r="J7" s="126"/>
      <c r="K7" s="126"/>
      <c r="L7" s="127"/>
      <c r="M7" s="127"/>
      <c r="N7" s="126"/>
      <c r="O7" s="126"/>
      <c r="P7" s="126"/>
      <c r="Q7" s="126"/>
      <c r="R7" s="127"/>
      <c r="S7" s="126">
        <f t="shared" si="0"/>
        <v>19061.900000000001</v>
      </c>
      <c r="T7" s="126">
        <f t="shared" si="1"/>
        <v>21735.200000000001</v>
      </c>
      <c r="U7" s="126">
        <f>0.57*Padron!$K$10</f>
        <v>323811.87</v>
      </c>
      <c r="V7" s="127">
        <f t="shared" si="2"/>
        <v>40797.100000000006</v>
      </c>
    </row>
    <row r="8" spans="1:22">
      <c r="B8" s="97" t="s">
        <v>94</v>
      </c>
      <c r="C8" s="94"/>
      <c r="D8" s="97" t="s">
        <v>94</v>
      </c>
      <c r="E8" s="94"/>
      <c r="F8" s="97" t="s">
        <v>94</v>
      </c>
      <c r="G8" s="94"/>
      <c r="H8" s="94"/>
      <c r="I8" s="126"/>
      <c r="J8" s="126"/>
      <c r="K8" s="126"/>
      <c r="L8" s="127"/>
      <c r="M8" s="127"/>
      <c r="N8" s="126"/>
      <c r="O8" s="126"/>
      <c r="P8" s="126"/>
      <c r="Q8" s="126"/>
      <c r="R8" s="127"/>
      <c r="S8" s="126"/>
      <c r="T8" s="126"/>
    </row>
    <row r="9" spans="1:22">
      <c r="B9" s="94"/>
      <c r="C9" s="94"/>
      <c r="D9" s="94"/>
      <c r="E9" s="94"/>
      <c r="F9" s="94" t="s">
        <v>236</v>
      </c>
      <c r="G9" s="94"/>
      <c r="H9" s="94"/>
      <c r="I9" s="94"/>
      <c r="M9" s="127"/>
      <c r="R9" s="127"/>
    </row>
    <row r="10" spans="1:22">
      <c r="B10" s="94"/>
      <c r="C10" s="94"/>
      <c r="D10" s="94"/>
      <c r="E10" s="94"/>
      <c r="F10" s="94"/>
      <c r="G10" s="94"/>
      <c r="H10" s="94"/>
      <c r="I10" s="94"/>
    </row>
    <row r="11" spans="1:22">
      <c r="A11" t="s">
        <v>136</v>
      </c>
      <c r="B11" s="94" t="s">
        <v>181</v>
      </c>
      <c r="C11" s="94"/>
      <c r="D11" s="94"/>
      <c r="E11" s="94"/>
      <c r="F11" s="94"/>
      <c r="G11" s="94"/>
      <c r="H11" s="94"/>
      <c r="I11" s="94"/>
    </row>
    <row r="12" spans="1:22">
      <c r="A12">
        <v>2007</v>
      </c>
      <c r="B12" s="94" t="s">
        <v>183</v>
      </c>
      <c r="C12" s="94"/>
      <c r="D12" s="94"/>
      <c r="E12" s="94"/>
      <c r="F12" s="94"/>
      <c r="G12" s="94"/>
      <c r="H12" s="94"/>
      <c r="I12" s="94"/>
    </row>
    <row r="13" spans="1:22">
      <c r="A13">
        <v>2011</v>
      </c>
      <c r="B13" t="s">
        <v>182</v>
      </c>
    </row>
    <row r="14" spans="1:22">
      <c r="A14">
        <v>2015</v>
      </c>
      <c r="B14" t="s">
        <v>52</v>
      </c>
    </row>
  </sheetData>
  <mergeCells count="6">
    <mergeCell ref="S1:V1"/>
    <mergeCell ref="B1:C1"/>
    <mergeCell ref="D1:E1"/>
    <mergeCell ref="F1:G1"/>
    <mergeCell ref="I1:L1"/>
    <mergeCell ref="N1:Q1"/>
  </mergeCells>
  <hyperlinks>
    <hyperlink ref="B8" r:id="rId1"/>
    <hyperlink ref="D8" r:id="rId2"/>
    <hyperlink ref="F8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7" ySplit="2" topLeftCell="O3" activePane="bottomRight" state="frozen"/>
      <selection pane="topRight" activeCell="H1" sqref="H1"/>
      <selection pane="bottomLeft" activeCell="A3" sqref="A3"/>
      <selection pane="bottomRight" activeCell="W8" sqref="W8"/>
    </sheetView>
  </sheetViews>
  <sheetFormatPr baseColWidth="10" defaultRowHeight="15" x14ac:dyDescent="0"/>
  <cols>
    <col min="1" max="1" width="16.83203125" bestFit="1" customWidth="1"/>
    <col min="11" max="11" width="11.83203125" bestFit="1" customWidth="1"/>
    <col min="13" max="13" width="11.83203125" bestFit="1" customWidth="1"/>
    <col min="14" max="14" width="3.33203125" style="124" customWidth="1"/>
    <col min="17" max="19" width="11.83203125" bestFit="1" customWidth="1"/>
    <col min="20" max="20" width="3.33203125" style="124" customWidth="1"/>
    <col min="23" max="23" width="11.83203125" bestFit="1" customWidth="1"/>
    <col min="25" max="25" width="11.83203125" bestFit="1" customWidth="1"/>
    <col min="26" max="26" width="3.33203125" style="124" customWidth="1"/>
  </cols>
  <sheetData>
    <row r="1" spans="1:26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92"/>
      <c r="O1" s="152">
        <v>2011</v>
      </c>
      <c r="P1" s="152"/>
      <c r="Q1" s="153"/>
      <c r="R1" s="153"/>
      <c r="S1" s="153"/>
      <c r="T1" s="92"/>
      <c r="U1" s="152">
        <v>2015</v>
      </c>
      <c r="V1" s="152"/>
      <c r="W1" s="153"/>
      <c r="X1" s="153"/>
      <c r="Y1" s="153"/>
      <c r="Z1" s="92"/>
    </row>
    <row r="2" spans="1:26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133</v>
      </c>
      <c r="M2" s="92" t="s">
        <v>6</v>
      </c>
      <c r="N2" s="92"/>
      <c r="O2" s="92" t="s">
        <v>88</v>
      </c>
      <c r="P2" s="92" t="s">
        <v>89</v>
      </c>
      <c r="Q2" s="92" t="s">
        <v>3</v>
      </c>
      <c r="R2" s="92" t="s">
        <v>133</v>
      </c>
      <c r="S2" s="92" t="s">
        <v>6</v>
      </c>
      <c r="T2" s="92"/>
      <c r="U2" s="92" t="s">
        <v>88</v>
      </c>
      <c r="V2" s="92" t="s">
        <v>89</v>
      </c>
      <c r="W2" s="92" t="s">
        <v>3</v>
      </c>
      <c r="X2" s="92" t="s">
        <v>133</v>
      </c>
      <c r="Y2" s="92" t="s">
        <v>6</v>
      </c>
      <c r="Z2" s="92"/>
    </row>
    <row r="3" spans="1:26">
      <c r="A3" t="s">
        <v>90</v>
      </c>
      <c r="B3" s="94">
        <v>467319</v>
      </c>
      <c r="C3" s="94">
        <v>21</v>
      </c>
      <c r="D3" s="94">
        <v>564954</v>
      </c>
      <c r="E3" s="94">
        <v>25</v>
      </c>
      <c r="F3" s="94">
        <v>405957</v>
      </c>
      <c r="G3" s="94">
        <v>16</v>
      </c>
      <c r="H3" s="94"/>
      <c r="I3" s="126">
        <f>B3*0.54</f>
        <v>252352.26</v>
      </c>
      <c r="J3" s="126">
        <f>C3*11674.66</f>
        <v>245167.86</v>
      </c>
      <c r="K3" s="126">
        <v>830872.23</v>
      </c>
      <c r="L3" s="126">
        <f>0.16*1506504</f>
        <v>241040.64000000001</v>
      </c>
      <c r="M3" s="127">
        <f>MIN(K3,I3+J3)+L3</f>
        <v>738560.76</v>
      </c>
      <c r="N3" s="127"/>
      <c r="O3" s="126">
        <f>D3*0.6</f>
        <v>338972.39999999997</v>
      </c>
      <c r="P3" s="126">
        <f>E3*12810.57</f>
        <v>320264.25</v>
      </c>
      <c r="Q3" s="126">
        <f>0.47*Padron!$C$11</f>
        <v>976947.16999999993</v>
      </c>
      <c r="R3" s="126">
        <f>1566641*0.17</f>
        <v>266328.97000000003</v>
      </c>
      <c r="S3" s="127">
        <f>MIN(Q3,O3+P3)+R3</f>
        <v>925565.61999999988</v>
      </c>
      <c r="T3" s="127"/>
      <c r="U3" s="126">
        <f>F3*0.6</f>
        <v>243574.19999999998</v>
      </c>
      <c r="V3" s="126">
        <f>G3*12810.57</f>
        <v>204969.12</v>
      </c>
      <c r="W3" s="126">
        <f>0.47*Padron!$C$11</f>
        <v>976947.16999999993</v>
      </c>
      <c r="X3" s="132">
        <f>1549299*0.17</f>
        <v>263380.83</v>
      </c>
      <c r="Y3" s="127">
        <f>MIN(W3,U3+V3)+X3</f>
        <v>711924.14999999991</v>
      </c>
      <c r="Z3" s="127"/>
    </row>
    <row r="4" spans="1:26">
      <c r="A4" t="s">
        <v>91</v>
      </c>
      <c r="B4" s="94">
        <v>572849</v>
      </c>
      <c r="C4" s="94">
        <v>26</v>
      </c>
      <c r="D4" s="94">
        <v>509738</v>
      </c>
      <c r="E4" s="94">
        <v>24</v>
      </c>
      <c r="F4" s="94">
        <v>391222</v>
      </c>
      <c r="G4" s="94">
        <v>14</v>
      </c>
      <c r="H4" s="94"/>
      <c r="I4" s="126">
        <f>B4*0.54</f>
        <v>309338.46000000002</v>
      </c>
      <c r="J4" s="126">
        <f>C4*11674.66</f>
        <v>303541.15999999997</v>
      </c>
      <c r="K4" s="126">
        <v>830872.23</v>
      </c>
      <c r="L4" s="126">
        <f>0.16*1506504</f>
        <v>241040.64000000001</v>
      </c>
      <c r="M4" s="127">
        <f>MIN(K4,I4+J4)+L4</f>
        <v>853920.26</v>
      </c>
      <c r="N4" s="127"/>
      <c r="O4" s="126">
        <f>D4*0.6</f>
        <v>305842.8</v>
      </c>
      <c r="P4" s="126">
        <f>E4*12810.57</f>
        <v>307453.68</v>
      </c>
      <c r="Q4" s="126">
        <f>0.47*Padron!$C$11</f>
        <v>976947.16999999993</v>
      </c>
      <c r="R4" s="126">
        <f>1566641*0.17</f>
        <v>266328.97000000003</v>
      </c>
      <c r="S4" s="127">
        <f>MIN(Q4,O4+P4)+R4</f>
        <v>879625.45</v>
      </c>
      <c r="T4" s="127"/>
      <c r="U4" s="126">
        <f>F4*0.6</f>
        <v>234733.19999999998</v>
      </c>
      <c r="V4" s="126">
        <f>G4*12810.57</f>
        <v>179347.97999999998</v>
      </c>
      <c r="W4" s="126">
        <f>0.47*Padron!$C$11</f>
        <v>976947.16999999993</v>
      </c>
      <c r="X4" s="132">
        <f>1549299*0.17</f>
        <v>263380.83</v>
      </c>
      <c r="Y4" s="127">
        <f>MIN(W4,U4+V4)+X4</f>
        <v>677462.01</v>
      </c>
      <c r="Z4" s="127"/>
    </row>
    <row r="5" spans="1:26">
      <c r="A5" t="s">
        <v>229</v>
      </c>
      <c r="B5" s="94"/>
      <c r="C5" s="94"/>
      <c r="D5" s="94"/>
      <c r="E5" s="94"/>
      <c r="F5" s="94">
        <v>105288</v>
      </c>
      <c r="G5" s="94">
        <v>3</v>
      </c>
      <c r="H5" s="94"/>
      <c r="I5" s="126"/>
      <c r="J5" s="126"/>
      <c r="K5" s="126"/>
      <c r="L5" s="126"/>
      <c r="M5" s="127"/>
      <c r="N5" s="127"/>
      <c r="O5" s="126"/>
      <c r="P5" s="126"/>
      <c r="Q5" s="126"/>
      <c r="R5" s="126"/>
      <c r="S5" s="127"/>
      <c r="T5" s="127"/>
      <c r="U5" s="126">
        <f>F5*0.6</f>
        <v>63172.799999999996</v>
      </c>
      <c r="V5" s="126">
        <f>G5*12810.57</f>
        <v>38431.71</v>
      </c>
      <c r="W5" s="126">
        <f>0.47*Padron!$C$11</f>
        <v>976947.16999999993</v>
      </c>
      <c r="X5" s="132">
        <f>(1549299-403863)*0.17</f>
        <v>194724.12000000002</v>
      </c>
      <c r="Y5" s="127">
        <f>MIN(W5,U5+V5)+X5</f>
        <v>296328.63</v>
      </c>
      <c r="Z5" s="127"/>
    </row>
    <row r="6" spans="1:26">
      <c r="B6" s="94"/>
      <c r="C6" s="94"/>
      <c r="D6" s="94"/>
      <c r="E6" s="94"/>
      <c r="F6" s="94"/>
      <c r="G6" s="94"/>
      <c r="H6" s="94"/>
      <c r="I6" s="126"/>
      <c r="J6" s="126"/>
      <c r="K6" s="126"/>
      <c r="L6" s="126"/>
      <c r="M6" s="126"/>
      <c r="N6" s="127"/>
      <c r="O6" s="126"/>
      <c r="P6" s="126"/>
      <c r="Q6" s="126"/>
      <c r="R6" s="126"/>
      <c r="S6" s="126"/>
      <c r="T6" s="127"/>
      <c r="U6" s="126"/>
      <c r="V6" s="126"/>
      <c r="W6" s="126"/>
      <c r="X6" s="126"/>
      <c r="Y6" s="126"/>
      <c r="Z6" s="127"/>
    </row>
    <row r="7" spans="1:26">
      <c r="B7" s="94"/>
      <c r="C7" s="97" t="s">
        <v>143</v>
      </c>
      <c r="D7" s="94"/>
      <c r="E7" s="97" t="s">
        <v>143</v>
      </c>
      <c r="F7" s="97" t="s">
        <v>94</v>
      </c>
      <c r="G7" s="94"/>
      <c r="H7" s="94"/>
      <c r="I7" s="126"/>
      <c r="J7" s="126"/>
      <c r="K7" s="126"/>
      <c r="L7" s="126"/>
      <c r="M7" s="126"/>
      <c r="N7" s="127"/>
      <c r="O7" s="126"/>
      <c r="P7" s="126"/>
      <c r="Q7" s="126"/>
      <c r="R7" s="126"/>
      <c r="S7" s="126"/>
      <c r="T7" s="127"/>
      <c r="U7" s="126"/>
      <c r="V7" s="126"/>
      <c r="W7" s="126"/>
      <c r="X7" s="126"/>
      <c r="Y7" s="126"/>
      <c r="Z7" s="127"/>
    </row>
    <row r="8" spans="1:26">
      <c r="B8" s="94"/>
      <c r="C8" s="94"/>
      <c r="D8" s="94"/>
      <c r="E8" s="94"/>
      <c r="F8" s="94" t="s">
        <v>237</v>
      </c>
      <c r="G8" s="94"/>
      <c r="H8" s="94"/>
      <c r="I8" s="94"/>
      <c r="N8" s="127"/>
      <c r="O8" s="94"/>
      <c r="T8" s="127"/>
      <c r="U8" s="94"/>
      <c r="Z8" s="127"/>
    </row>
    <row r="9" spans="1:26">
      <c r="A9" t="s">
        <v>136</v>
      </c>
      <c r="B9" s="94" t="s">
        <v>184</v>
      </c>
      <c r="C9" s="94"/>
      <c r="D9" s="94"/>
      <c r="E9" s="94"/>
      <c r="F9" s="94"/>
      <c r="G9" s="94"/>
      <c r="H9" s="94"/>
      <c r="I9" s="94"/>
      <c r="O9" s="94"/>
      <c r="U9" s="94"/>
    </row>
    <row r="10" spans="1:26">
      <c r="A10" t="s">
        <v>173</v>
      </c>
      <c r="B10" s="94" t="s">
        <v>187</v>
      </c>
      <c r="C10" s="94"/>
      <c r="D10" s="94"/>
      <c r="E10" s="94"/>
      <c r="F10" s="94"/>
      <c r="G10" s="94"/>
      <c r="H10" s="94"/>
      <c r="I10" s="94"/>
      <c r="O10" s="94"/>
      <c r="U10" s="94"/>
    </row>
    <row r="11" spans="1:26">
      <c r="A11" t="s">
        <v>188</v>
      </c>
      <c r="B11" s="94" t="s">
        <v>189</v>
      </c>
      <c r="C11" s="94"/>
      <c r="D11" s="94"/>
      <c r="E11" s="94"/>
      <c r="F11" s="94"/>
      <c r="G11" s="94"/>
      <c r="H11" s="94"/>
      <c r="I11" s="94"/>
      <c r="O11" s="94"/>
      <c r="U11" s="94"/>
    </row>
    <row r="12" spans="1:26">
      <c r="A12" t="s">
        <v>174</v>
      </c>
      <c r="B12" s="94" t="s">
        <v>186</v>
      </c>
      <c r="C12" s="94"/>
      <c r="D12" s="94"/>
      <c r="E12" s="94"/>
      <c r="F12" s="94"/>
      <c r="G12" s="94"/>
      <c r="H12" s="94"/>
      <c r="I12" s="94"/>
      <c r="O12" s="94"/>
      <c r="U12" s="94"/>
    </row>
    <row r="13" spans="1:26">
      <c r="A13" t="s">
        <v>190</v>
      </c>
      <c r="B13" t="s">
        <v>191</v>
      </c>
      <c r="I13" s="94"/>
      <c r="O13" s="94"/>
      <c r="U13" s="94"/>
    </row>
    <row r="14" spans="1:26">
      <c r="A14" t="s">
        <v>177</v>
      </c>
      <c r="B14" t="s">
        <v>85</v>
      </c>
      <c r="I14" s="94"/>
      <c r="O14" s="94"/>
      <c r="U14" s="94"/>
    </row>
    <row r="15" spans="1:26">
      <c r="A15" t="s">
        <v>185</v>
      </c>
      <c r="B15" t="s">
        <v>59</v>
      </c>
      <c r="I15" s="94"/>
      <c r="O15" s="94"/>
      <c r="U15" s="94"/>
    </row>
    <row r="16" spans="1:26">
      <c r="I16" s="94"/>
      <c r="O16" s="94"/>
      <c r="U16" s="94"/>
    </row>
  </sheetData>
  <mergeCells count="6">
    <mergeCell ref="U1:Y1"/>
    <mergeCell ref="B1:C1"/>
    <mergeCell ref="D1:E1"/>
    <mergeCell ref="F1:G1"/>
    <mergeCell ref="I1:M1"/>
    <mergeCell ref="O1:S1"/>
  </mergeCells>
  <hyperlinks>
    <hyperlink ref="C7" r:id="rId1"/>
    <hyperlink ref="E7" r:id="rId2"/>
    <hyperlink ref="F7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7" ySplit="2" topLeftCell="O3" activePane="bottomRight" state="frozen"/>
      <selection pane="topRight" activeCell="H1" sqref="H1"/>
      <selection pane="bottomLeft" activeCell="A3" sqref="A3"/>
      <selection pane="bottomRight" activeCell="S13" sqref="S13"/>
    </sheetView>
  </sheetViews>
  <sheetFormatPr baseColWidth="10" defaultRowHeight="15" x14ac:dyDescent="0"/>
  <cols>
    <col min="1" max="1" width="14" bestFit="1" customWidth="1"/>
    <col min="11" max="13" width="11.83203125" bestFit="1" customWidth="1"/>
    <col min="14" max="14" width="3.33203125" style="124" customWidth="1"/>
    <col min="17" max="19" width="11.83203125" bestFit="1" customWidth="1"/>
    <col min="20" max="20" width="3.33203125" style="124" customWidth="1"/>
    <col min="23" max="23" width="11.83203125" bestFit="1" customWidth="1"/>
    <col min="25" max="25" width="11.83203125" bestFit="1" customWidth="1"/>
    <col min="26" max="26" width="3.33203125" style="124" customWidth="1"/>
  </cols>
  <sheetData>
    <row r="1" spans="1:26" s="91" customFormat="1">
      <c r="B1" s="152">
        <v>2007</v>
      </c>
      <c r="C1" s="152"/>
      <c r="D1" s="152">
        <v>2011</v>
      </c>
      <c r="E1" s="152"/>
      <c r="F1" s="154">
        <v>2015</v>
      </c>
      <c r="G1" s="154"/>
      <c r="I1" s="152">
        <v>2007</v>
      </c>
      <c r="J1" s="152"/>
      <c r="K1" s="153"/>
      <c r="L1" s="153"/>
      <c r="M1" s="153"/>
      <c r="N1" s="92"/>
      <c r="O1" s="152">
        <v>2011</v>
      </c>
      <c r="P1" s="152"/>
      <c r="Q1" s="153"/>
      <c r="R1" s="153"/>
      <c r="S1" s="153"/>
      <c r="T1" s="92"/>
      <c r="U1" s="152">
        <v>2015</v>
      </c>
      <c r="V1" s="152"/>
      <c r="W1" s="153"/>
      <c r="X1" s="153"/>
      <c r="Y1" s="153"/>
      <c r="Z1" s="92"/>
    </row>
    <row r="2" spans="1:26" s="91" customFormat="1">
      <c r="B2" s="93" t="s">
        <v>88</v>
      </c>
      <c r="C2" s="93" t="s">
        <v>89</v>
      </c>
      <c r="D2" s="93" t="s">
        <v>88</v>
      </c>
      <c r="E2" s="93" t="s">
        <v>89</v>
      </c>
      <c r="F2" s="95" t="s">
        <v>88</v>
      </c>
      <c r="G2" s="95" t="s">
        <v>89</v>
      </c>
      <c r="I2" s="92" t="s">
        <v>88</v>
      </c>
      <c r="J2" s="92" t="s">
        <v>89</v>
      </c>
      <c r="K2" s="92" t="s">
        <v>3</v>
      </c>
      <c r="L2" s="92" t="s">
        <v>133</v>
      </c>
      <c r="M2" s="92" t="s">
        <v>6</v>
      </c>
      <c r="N2" s="92"/>
      <c r="O2" s="92" t="s">
        <v>88</v>
      </c>
      <c r="P2" s="92" t="s">
        <v>89</v>
      </c>
      <c r="Q2" s="92" t="s">
        <v>3</v>
      </c>
      <c r="R2" s="92" t="s">
        <v>133</v>
      </c>
      <c r="S2" s="92" t="s">
        <v>6</v>
      </c>
      <c r="T2" s="92"/>
      <c r="U2" s="92" t="s">
        <v>88</v>
      </c>
      <c r="V2" s="92" t="s">
        <v>89</v>
      </c>
      <c r="W2" s="92" t="s">
        <v>3</v>
      </c>
      <c r="X2" s="92" t="s">
        <v>133</v>
      </c>
      <c r="Y2" s="92" t="s">
        <v>6</v>
      </c>
      <c r="Z2" s="92"/>
    </row>
    <row r="3" spans="1:26">
      <c r="A3" t="s">
        <v>90</v>
      </c>
      <c r="B3" s="94">
        <v>748746</v>
      </c>
      <c r="C3" s="94">
        <v>48</v>
      </c>
      <c r="D3" s="94">
        <v>739502</v>
      </c>
      <c r="E3" s="94">
        <v>53</v>
      </c>
      <c r="F3" s="140">
        <v>510951</v>
      </c>
      <c r="G3" s="140">
        <v>42</v>
      </c>
      <c r="H3" s="94"/>
      <c r="I3" s="126">
        <f>0.4*B3</f>
        <v>299498.40000000002</v>
      </c>
      <c r="J3" s="126">
        <f>10205.62*C3</f>
        <v>489869.76</v>
      </c>
      <c r="K3" s="126">
        <f>0.38*Padron!$K$12</f>
        <v>958747.6</v>
      </c>
      <c r="L3" s="126">
        <f>2171192*0.19</f>
        <v>412526.48</v>
      </c>
      <c r="M3" s="127">
        <f>MIN(K3,I3+J3)+L3</f>
        <v>1201894.6400000001</v>
      </c>
      <c r="N3" s="127"/>
      <c r="O3" s="126">
        <f>D3*0.4</f>
        <v>295800.8</v>
      </c>
      <c r="P3" s="126">
        <f>10205.62*E3</f>
        <v>540897.86</v>
      </c>
      <c r="Q3" s="126">
        <f>0.38*Padron!$G$12</f>
        <v>972615.7</v>
      </c>
      <c r="R3" s="126">
        <f>2166385*0.19</f>
        <v>411613.15</v>
      </c>
      <c r="S3" s="127">
        <f>MIN(Q3,O3+P3)+R3</f>
        <v>1248311.81</v>
      </c>
      <c r="T3" s="127"/>
      <c r="U3" s="126">
        <f>F3*0.4</f>
        <v>204380.40000000002</v>
      </c>
      <c r="V3" s="126">
        <f>10205.62*G3</f>
        <v>428636.04000000004</v>
      </c>
      <c r="W3" s="126">
        <f>0.38*Padron!$C$12</f>
        <v>948020.2</v>
      </c>
      <c r="X3" s="132">
        <f>(1381464+621414)*0.19</f>
        <v>380546.82</v>
      </c>
      <c r="Y3" s="127">
        <f>MIN(W3,U3+V3)+X3</f>
        <v>1013563.26</v>
      </c>
      <c r="Z3" s="127"/>
    </row>
    <row r="4" spans="1:26">
      <c r="A4" t="s">
        <v>91</v>
      </c>
      <c r="B4" s="94">
        <v>574596</v>
      </c>
      <c r="C4" s="94">
        <v>33</v>
      </c>
      <c r="D4" s="94">
        <v>425777</v>
      </c>
      <c r="E4" s="94">
        <v>29</v>
      </c>
      <c r="F4" s="140">
        <v>351057</v>
      </c>
      <c r="G4" s="140">
        <v>25</v>
      </c>
      <c r="H4" s="94"/>
      <c r="I4" s="126">
        <f>0.4*B4</f>
        <v>229838.40000000002</v>
      </c>
      <c r="J4" s="126">
        <f>10205.62*C4</f>
        <v>336785.46</v>
      </c>
      <c r="K4" s="126">
        <f>0.38*Padron!$K$12</f>
        <v>958747.6</v>
      </c>
      <c r="L4" s="131">
        <v>412526.48</v>
      </c>
      <c r="M4" s="127">
        <f>MIN(K4,I4+J4)+L4</f>
        <v>979150.34000000008</v>
      </c>
      <c r="N4" s="127"/>
      <c r="O4" s="126">
        <f>D4*0.4</f>
        <v>170310.80000000002</v>
      </c>
      <c r="P4" s="126">
        <f>10205.62*E4</f>
        <v>295962.98000000004</v>
      </c>
      <c r="Q4" s="126">
        <f>0.38*Padron!$G$12</f>
        <v>972615.7</v>
      </c>
      <c r="R4" s="126">
        <f>2166385*0.19</f>
        <v>411613.15</v>
      </c>
      <c r="S4" s="127">
        <f>MIN(Q4,O4+P4)+R4</f>
        <v>877886.93</v>
      </c>
      <c r="T4" s="127"/>
      <c r="U4" s="126">
        <f>F4*0.4</f>
        <v>140422.80000000002</v>
      </c>
      <c r="V4" s="126">
        <f>10205.62*G4</f>
        <v>255140.50000000003</v>
      </c>
      <c r="W4" s="126">
        <f>0.38*Padron!$C$12</f>
        <v>948020.2</v>
      </c>
      <c r="X4" s="132">
        <f>(1381464+621414)*0.19</f>
        <v>380546.82</v>
      </c>
      <c r="Y4" s="127">
        <f>MIN(W4,U4+V4)+X4</f>
        <v>776110.12000000011</v>
      </c>
      <c r="Z4" s="127"/>
    </row>
    <row r="5" spans="1:26">
      <c r="A5" t="s">
        <v>193</v>
      </c>
      <c r="B5" s="94">
        <v>40781</v>
      </c>
      <c r="C5" s="94">
        <v>2</v>
      </c>
      <c r="D5" s="94">
        <v>26660</v>
      </c>
      <c r="E5" s="94">
        <v>1</v>
      </c>
      <c r="F5" s="140">
        <v>19067</v>
      </c>
      <c r="G5" s="140">
        <v>1</v>
      </c>
      <c r="H5" s="94"/>
      <c r="I5" s="126"/>
      <c r="J5" s="126"/>
      <c r="K5" s="126"/>
      <c r="L5" s="126"/>
      <c r="M5" s="126"/>
      <c r="N5" s="127"/>
      <c r="O5" s="126"/>
      <c r="P5" s="126"/>
      <c r="Q5" s="126"/>
      <c r="R5" s="126"/>
      <c r="S5" s="126"/>
      <c r="T5" s="127"/>
      <c r="U5" s="126"/>
      <c r="V5" s="126"/>
      <c r="W5" s="126"/>
      <c r="X5" s="132"/>
      <c r="Y5" s="127"/>
      <c r="Z5" s="127"/>
    </row>
    <row r="6" spans="1:26">
      <c r="A6" t="s">
        <v>132</v>
      </c>
      <c r="B6" s="94"/>
      <c r="C6" s="94"/>
      <c r="D6" s="94">
        <v>69872</v>
      </c>
      <c r="E6" s="94">
        <v>1</v>
      </c>
      <c r="F6" s="140">
        <v>56133</v>
      </c>
      <c r="G6" s="140">
        <v>1</v>
      </c>
      <c r="H6" s="94"/>
      <c r="I6" s="126"/>
      <c r="J6" s="126"/>
      <c r="K6" s="126"/>
      <c r="L6" s="126"/>
      <c r="M6" s="126"/>
      <c r="N6" s="127"/>
      <c r="O6" s="126">
        <f>D6*0.4</f>
        <v>27948.800000000003</v>
      </c>
      <c r="P6" s="126">
        <f>10205.62*E6</f>
        <v>10205.620000000001</v>
      </c>
      <c r="Q6" s="126">
        <f>0.38*Padron!$G$12</f>
        <v>972615.7</v>
      </c>
      <c r="R6" s="126">
        <f>2166385*0.19</f>
        <v>411613.15</v>
      </c>
      <c r="S6" s="127">
        <f>MIN(Q6,O6+P6)+R6</f>
        <v>449767.57</v>
      </c>
      <c r="T6" s="127"/>
      <c r="U6" s="126">
        <f>F6*0.4</f>
        <v>22453.200000000001</v>
      </c>
      <c r="V6" s="126">
        <f>10205.62*G6</f>
        <v>10205.620000000001</v>
      </c>
      <c r="W6" s="126">
        <f>0.38*Padron!$C$12</f>
        <v>948020.2</v>
      </c>
      <c r="X6" s="132">
        <f>(1381464+621414)*0.19</f>
        <v>380546.82</v>
      </c>
      <c r="Y6" s="127">
        <f>MIN(W6,U6+V6)+X6</f>
        <v>413205.64</v>
      </c>
      <c r="Z6" s="127"/>
    </row>
    <row r="7" spans="1:26">
      <c r="A7" t="s">
        <v>229</v>
      </c>
      <c r="B7" s="94"/>
      <c r="C7" s="94"/>
      <c r="D7" s="94"/>
      <c r="E7" s="94"/>
      <c r="F7" s="140">
        <v>163637</v>
      </c>
      <c r="G7" s="140">
        <v>10</v>
      </c>
      <c r="H7" s="94"/>
      <c r="I7" s="94"/>
      <c r="N7" s="127"/>
      <c r="O7" s="94"/>
      <c r="T7" s="127"/>
      <c r="U7" s="126">
        <f t="shared" ref="U7:U8" si="0">F7*0.4</f>
        <v>65454.8</v>
      </c>
      <c r="V7" s="126">
        <f t="shared" ref="V7:V8" si="1">10205.62*G7</f>
        <v>102056.20000000001</v>
      </c>
      <c r="W7" s="126">
        <f>0.38*Padron!$C$12</f>
        <v>948020.2</v>
      </c>
      <c r="X7" s="132">
        <f>(1381464+621414-147133)*0.19</f>
        <v>352591.55</v>
      </c>
      <c r="Y7" s="127">
        <f t="shared" ref="Y7:Y8" si="2">MIN(W7,U7+V7)+X7</f>
        <v>520102.55</v>
      </c>
      <c r="Z7" s="127"/>
    </row>
    <row r="8" spans="1:26">
      <c r="A8" t="s">
        <v>230</v>
      </c>
      <c r="B8" s="94"/>
      <c r="C8" s="94"/>
      <c r="D8" s="94"/>
      <c r="E8" s="94"/>
      <c r="F8" s="140">
        <v>138926</v>
      </c>
      <c r="G8" s="140">
        <v>5</v>
      </c>
      <c r="H8" s="94"/>
      <c r="I8" s="94"/>
      <c r="N8" s="127"/>
      <c r="O8" s="94"/>
      <c r="T8" s="127"/>
      <c r="U8" s="126">
        <f t="shared" si="0"/>
        <v>55570.400000000001</v>
      </c>
      <c r="V8" s="126">
        <f t="shared" si="1"/>
        <v>51028.100000000006</v>
      </c>
      <c r="W8" s="126">
        <f>0.38*Padron!$C$12</f>
        <v>948020.2</v>
      </c>
      <c r="X8" s="132">
        <f>(1381464+621414-344132)*0.19</f>
        <v>315161.74</v>
      </c>
      <c r="Y8" s="127">
        <f t="shared" si="2"/>
        <v>421760.24</v>
      </c>
      <c r="Z8" s="127"/>
    </row>
    <row r="9" spans="1:26">
      <c r="B9" s="94"/>
      <c r="C9" s="94"/>
      <c r="D9" s="94"/>
      <c r="E9" s="94"/>
      <c r="F9" s="94"/>
      <c r="G9" s="94"/>
      <c r="H9" s="94"/>
      <c r="I9" s="94"/>
      <c r="N9" s="127"/>
      <c r="O9" s="94"/>
      <c r="T9" s="127"/>
      <c r="U9" s="94"/>
      <c r="Z9" s="127"/>
    </row>
    <row r="10" spans="1:26">
      <c r="B10" s="94"/>
      <c r="C10" s="97" t="s">
        <v>143</v>
      </c>
      <c r="D10" s="94"/>
      <c r="E10" s="97" t="s">
        <v>143</v>
      </c>
      <c r="F10" s="97" t="s">
        <v>94</v>
      </c>
      <c r="G10" s="94"/>
      <c r="H10" s="94"/>
      <c r="I10" s="94"/>
      <c r="O10" s="94"/>
      <c r="U10" s="94"/>
    </row>
    <row r="11" spans="1:26">
      <c r="B11" s="94"/>
      <c r="C11" s="94"/>
      <c r="D11" s="94"/>
      <c r="E11" s="94"/>
      <c r="F11" s="94" t="s">
        <v>238</v>
      </c>
      <c r="G11" s="94"/>
      <c r="H11" s="94"/>
      <c r="I11" s="94"/>
      <c r="O11" s="94"/>
      <c r="U11" s="94"/>
    </row>
    <row r="12" spans="1:26">
      <c r="A12" t="s">
        <v>136</v>
      </c>
      <c r="B12" s="94" t="s">
        <v>192</v>
      </c>
      <c r="C12" s="94"/>
      <c r="D12" s="94"/>
      <c r="E12" s="94"/>
      <c r="F12" s="94"/>
      <c r="G12" s="94"/>
      <c r="H12" s="94"/>
      <c r="I12" s="94"/>
      <c r="O12" s="94"/>
      <c r="U12" s="94"/>
    </row>
    <row r="13" spans="1:26">
      <c r="A13">
        <v>2007</v>
      </c>
      <c r="B13" s="94" t="s">
        <v>195</v>
      </c>
      <c r="C13" s="94"/>
      <c r="D13" s="94"/>
      <c r="E13" s="94"/>
      <c r="F13" s="94"/>
      <c r="G13" s="94"/>
      <c r="H13" s="94"/>
      <c r="I13" s="94"/>
      <c r="O13" s="94"/>
      <c r="U13" s="94"/>
    </row>
    <row r="14" spans="1:26">
      <c r="A14">
        <v>2011</v>
      </c>
      <c r="B14" s="94" t="s">
        <v>194</v>
      </c>
      <c r="C14" s="94"/>
      <c r="D14" s="94"/>
      <c r="E14" s="94"/>
      <c r="F14" s="94"/>
      <c r="G14" s="94"/>
      <c r="H14" s="94"/>
      <c r="I14" s="94"/>
      <c r="O14" s="94"/>
      <c r="U14" s="94"/>
    </row>
    <row r="15" spans="1:26">
      <c r="A15">
        <v>2015</v>
      </c>
      <c r="B15" s="94" t="s">
        <v>225</v>
      </c>
      <c r="I15" s="94"/>
      <c r="O15" s="94"/>
      <c r="U15" s="94"/>
    </row>
    <row r="16" spans="1:26">
      <c r="I16" s="94"/>
      <c r="O16" s="94"/>
      <c r="U16" s="94"/>
    </row>
    <row r="17" spans="9:21">
      <c r="I17" s="94"/>
      <c r="O17" s="94"/>
      <c r="U17" s="94"/>
    </row>
  </sheetData>
  <mergeCells count="6">
    <mergeCell ref="U1:Y1"/>
    <mergeCell ref="B1:C1"/>
    <mergeCell ref="D1:E1"/>
    <mergeCell ref="F1:G1"/>
    <mergeCell ref="I1:M1"/>
    <mergeCell ref="O1:S1"/>
  </mergeCells>
  <hyperlinks>
    <hyperlink ref="C10" r:id="rId1"/>
    <hyperlink ref="E10" r:id="rId2"/>
    <hyperlink ref="F10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Resumen</vt:lpstr>
      <vt:lpstr>Madrid</vt:lpstr>
      <vt:lpstr>Aragón</vt:lpstr>
      <vt:lpstr>Asturias</vt:lpstr>
      <vt:lpstr>Baleares</vt:lpstr>
      <vt:lpstr>Canarias</vt:lpstr>
      <vt:lpstr>Cantabria</vt:lpstr>
      <vt:lpstr>Castilla La Mancha</vt:lpstr>
      <vt:lpstr>Castilla y León</vt:lpstr>
      <vt:lpstr>Extremadura</vt:lpstr>
      <vt:lpstr>La Rioja</vt:lpstr>
      <vt:lpstr>Murcia</vt:lpstr>
      <vt:lpstr>Navarra</vt:lpstr>
      <vt:lpstr>Valencia</vt:lpstr>
      <vt:lpstr>Legislación</vt:lpstr>
      <vt:lpstr>Padron</vt:lpstr>
      <vt:lpstr>Combinado PP2011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Gavilanes García</dc:creator>
  <cp:lastModifiedBy>eva</cp:lastModifiedBy>
  <cp:lastPrinted>2015-05-25T14:53:23Z</cp:lastPrinted>
  <dcterms:created xsi:type="dcterms:W3CDTF">2015-05-06T15:20:41Z</dcterms:created>
  <dcterms:modified xsi:type="dcterms:W3CDTF">2015-05-26T08:47:24Z</dcterms:modified>
</cp:coreProperties>
</file>